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019-Travel" sheetId="2" r:id="rId1"/>
    <sheet name="Projects" sheetId="4" r:id="rId2"/>
    <sheet name="Transport" sheetId="5" r:id="rId3"/>
  </sheets>
  <definedNames>
    <definedName name="_xlnm._FilterDatabase" localSheetId="0" hidden="1">'2019-Travel'!$N$3:$T$16</definedName>
  </definedNames>
  <calcPr calcId="125725"/>
  <pivotCaches>
    <pivotCache cacheId="5" r:id="rId4"/>
  </pivotCaches>
</workbook>
</file>

<file path=xl/calcChain.xml><?xml version="1.0" encoding="utf-8"?>
<calcChain xmlns="http://schemas.openxmlformats.org/spreadsheetml/2006/main">
  <c r="T5" i="2"/>
  <c r="T6"/>
  <c r="T7"/>
  <c r="T8"/>
  <c r="T9"/>
  <c r="T10"/>
  <c r="T12"/>
  <c r="T13"/>
  <c r="T14"/>
  <c r="U14" s="1"/>
  <c r="T16"/>
  <c r="T4"/>
  <c r="S5"/>
  <c r="S6"/>
  <c r="S7"/>
  <c r="S8"/>
  <c r="S9"/>
  <c r="S10"/>
  <c r="S11"/>
  <c r="T11" s="1"/>
  <c r="U11" s="1"/>
  <c r="S12"/>
  <c r="S13"/>
  <c r="S14"/>
  <c r="S15"/>
  <c r="T15" s="1"/>
  <c r="U15" s="1"/>
  <c r="S16"/>
  <c r="S4"/>
  <c r="U5"/>
  <c r="U6"/>
  <c r="U7"/>
  <c r="U8"/>
  <c r="U9"/>
  <c r="U10"/>
  <c r="U13"/>
  <c r="U16"/>
  <c r="U4"/>
  <c r="U12"/>
  <c r="P5"/>
  <c r="P6"/>
  <c r="P7"/>
  <c r="P8"/>
  <c r="P9"/>
  <c r="P10"/>
  <c r="P11"/>
  <c r="P12"/>
  <c r="P13"/>
  <c r="P14"/>
  <c r="P15"/>
  <c r="P16"/>
  <c r="H44"/>
  <c r="B7" i="5"/>
  <c r="R7"/>
  <c r="H42" i="2"/>
  <c r="H43"/>
  <c r="P4"/>
  <c r="Q5"/>
  <c r="Q6"/>
  <c r="Q7"/>
  <c r="Q8"/>
  <c r="Q9"/>
  <c r="Q10"/>
  <c r="Q11"/>
  <c r="Q12"/>
  <c r="Q13"/>
  <c r="Q14"/>
  <c r="Q15"/>
  <c r="Q16"/>
  <c r="Q4"/>
  <c r="R20"/>
  <c r="O26" s="1"/>
  <c r="H38"/>
  <c r="H39"/>
  <c r="H40"/>
  <c r="H41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O4"/>
  <c r="N4"/>
  <c r="B5" i="5"/>
  <c r="B4"/>
  <c r="B6"/>
  <c r="B3"/>
  <c r="B2"/>
  <c r="C14" i="4"/>
  <c r="C13"/>
  <c r="C12"/>
  <c r="C11"/>
  <c r="C10"/>
  <c r="C9"/>
  <c r="R6" i="5"/>
  <c r="R3"/>
  <c r="R2"/>
  <c r="C8" i="4"/>
  <c r="C7"/>
  <c r="C3"/>
  <c r="C4"/>
  <c r="C5"/>
  <c r="C6"/>
  <c r="C2"/>
  <c r="M3" i="5"/>
  <c r="M2"/>
  <c r="H6"/>
  <c r="H3"/>
  <c r="H2"/>
  <c r="H4" i="2"/>
  <c r="H8"/>
  <c r="H12"/>
  <c r="H13"/>
  <c r="H16"/>
  <c r="Q24"/>
  <c r="Q23"/>
  <c r="O23"/>
  <c r="U20" l="1"/>
  <c r="H15"/>
  <c r="H2"/>
  <c r="H9"/>
  <c r="H5"/>
  <c r="H14"/>
  <c r="H10"/>
  <c r="H6"/>
  <c r="H11"/>
  <c r="H7"/>
  <c r="H3"/>
  <c r="O24"/>
  <c r="S20" l="1"/>
  <c r="O25" s="1"/>
  <c r="T20" l="1"/>
  <c r="O27" s="1"/>
</calcChain>
</file>

<file path=xl/sharedStrings.xml><?xml version="1.0" encoding="utf-8"?>
<sst xmlns="http://schemas.openxmlformats.org/spreadsheetml/2006/main" count="327" uniqueCount="126">
  <si>
    <t>To</t>
  </si>
  <si>
    <t>From</t>
  </si>
  <si>
    <t>Distance (kms)</t>
  </si>
  <si>
    <t>Heathrow</t>
  </si>
  <si>
    <t>Doha</t>
  </si>
  <si>
    <t>Kolkata</t>
  </si>
  <si>
    <t>Bagdogra</t>
  </si>
  <si>
    <t>Delhi</t>
  </si>
  <si>
    <t>Year</t>
  </si>
  <si>
    <t>Trip</t>
  </si>
  <si>
    <t>India</t>
  </si>
  <si>
    <t>Project</t>
  </si>
  <si>
    <t>Location</t>
  </si>
  <si>
    <t>Kenya</t>
  </si>
  <si>
    <t>Improved Cookstoves</t>
  </si>
  <si>
    <t>Forest Plantations</t>
  </si>
  <si>
    <t>Uruguay</t>
  </si>
  <si>
    <t>Turkey</t>
  </si>
  <si>
    <t>Co2nsensus</t>
  </si>
  <si>
    <r>
      <t>Cost $ / kg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</si>
  <si>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Sum of Distance (kms)</t>
  </si>
  <si>
    <t>Row Labels</t>
  </si>
  <si>
    <t>Grand Total</t>
  </si>
  <si>
    <t>Jaipur</t>
  </si>
  <si>
    <t>Bikaner</t>
  </si>
  <si>
    <t>Jaisalmer</t>
  </si>
  <si>
    <t>NJP</t>
  </si>
  <si>
    <t>Darjeeling</t>
  </si>
  <si>
    <t>Jodhpur</t>
  </si>
  <si>
    <t>Brighton</t>
  </si>
  <si>
    <t>Transport</t>
  </si>
  <si>
    <t>Source</t>
  </si>
  <si>
    <t>Plane - long haul</t>
  </si>
  <si>
    <t>Car - economy</t>
  </si>
  <si>
    <t>Train - Indian Railways</t>
  </si>
  <si>
    <t>Train - Toy train</t>
  </si>
  <si>
    <t>Train - UK</t>
  </si>
  <si>
    <r>
      <t>CO</t>
    </r>
    <r>
      <rPr>
        <b/>
        <vertAlign val="subscript"/>
        <sz val="14"/>
        <color rgb="FF0070C0"/>
        <rFont val="Calibri"/>
        <family val="2"/>
        <scheme val="minor"/>
      </rPr>
      <t>2</t>
    </r>
    <r>
      <rPr>
        <b/>
        <sz val="14"/>
        <color rgb="FF0070C0"/>
        <rFont val="Calibri"/>
        <family val="2"/>
        <scheme val="minor"/>
      </rPr>
      <t xml:space="preserve"> generation</t>
    </r>
  </si>
  <si>
    <r>
      <t>CO</t>
    </r>
    <r>
      <rPr>
        <b/>
        <vertAlign val="subscript"/>
        <sz val="14"/>
        <color rgb="FF0070C0"/>
        <rFont val="Calibri"/>
        <family val="2"/>
        <scheme val="minor"/>
      </rPr>
      <t>2</t>
    </r>
    <r>
      <rPr>
        <b/>
        <sz val="14"/>
        <color rgb="FF0070C0"/>
        <rFont val="Calibri"/>
        <family val="2"/>
        <scheme val="minor"/>
      </rPr>
      <t xml:space="preserve"> mitigation</t>
    </r>
  </si>
  <si>
    <t>Allocation %</t>
  </si>
  <si>
    <t>Total kgms</t>
  </si>
  <si>
    <t>Totals</t>
  </si>
  <si>
    <t>Gatwick</t>
  </si>
  <si>
    <t>Distance km</t>
  </si>
  <si>
    <t>Kolkata via Doha</t>
  </si>
  <si>
    <t>Wind Power</t>
  </si>
  <si>
    <t>Biomass Conservation</t>
  </si>
  <si>
    <t>Malawi</t>
  </si>
  <si>
    <t xml:space="preserve">Distance only </t>
  </si>
  <si>
    <t>London</t>
  </si>
  <si>
    <t>Edinburgh</t>
  </si>
  <si>
    <t>kg/km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</si>
  <si>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kg</t>
    </r>
  </si>
  <si>
    <t>Values</t>
  </si>
  <si>
    <t>Generation</t>
  </si>
  <si>
    <t>Mitigation</t>
  </si>
  <si>
    <t>Allocation</t>
  </si>
  <si>
    <t>Distance</t>
  </si>
  <si>
    <t>Error checks</t>
  </si>
  <si>
    <t>Update with pivot</t>
  </si>
  <si>
    <t>Total distance</t>
  </si>
  <si>
    <t>Method</t>
  </si>
  <si>
    <t>MyClimate</t>
  </si>
  <si>
    <t>Reforestation</t>
  </si>
  <si>
    <t>Nicaragua</t>
  </si>
  <si>
    <t>Cost</t>
  </si>
  <si>
    <t>Carbon offset</t>
  </si>
  <si>
    <t>Switzerland</t>
  </si>
  <si>
    <r>
      <t>Kgms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mitigated</t>
    </r>
  </si>
  <si>
    <t>CarbonFootprint</t>
  </si>
  <si>
    <t>Global</t>
  </si>
  <si>
    <t>UK Tree Planting</t>
  </si>
  <si>
    <t>UK</t>
  </si>
  <si>
    <t>Reforestation2</t>
  </si>
  <si>
    <t>Improved CookStoves2</t>
  </si>
  <si>
    <t>Americas Portfolio</t>
  </si>
  <si>
    <t>Community Projects</t>
  </si>
  <si>
    <t>Certified Emission Reduction</t>
  </si>
  <si>
    <t>South America</t>
  </si>
  <si>
    <t>Verification</t>
  </si>
  <si>
    <t>Comments</t>
  </si>
  <si>
    <t>Global Portfolio</t>
  </si>
  <si>
    <t>including VAT</t>
  </si>
  <si>
    <t>Details</t>
  </si>
  <si>
    <t>Athens</t>
  </si>
  <si>
    <t>Singapore</t>
  </si>
  <si>
    <t>Hanoi City Vietnam</t>
  </si>
  <si>
    <t>Ho Chi Minh City</t>
  </si>
  <si>
    <t>Phnom Penh</t>
  </si>
  <si>
    <t>Perth</t>
  </si>
  <si>
    <t>Sydney</t>
  </si>
  <si>
    <t>Auckland</t>
  </si>
  <si>
    <t>Wellington</t>
  </si>
  <si>
    <t>Melbourne</t>
  </si>
  <si>
    <t>Colombo</t>
  </si>
  <si>
    <t>Kiev</t>
  </si>
  <si>
    <t>Indochina &amp; down under</t>
  </si>
  <si>
    <t>Hanoi</t>
  </si>
  <si>
    <t>Hue</t>
  </si>
  <si>
    <t>Da Nang</t>
  </si>
  <si>
    <t>Munich</t>
  </si>
  <si>
    <t>Christmas</t>
  </si>
  <si>
    <t>Tenby</t>
  </si>
  <si>
    <t>York</t>
  </si>
  <si>
    <t>Manchester</t>
  </si>
  <si>
    <t xml:space="preserve">Sum of kgs CO2 </t>
  </si>
  <si>
    <r>
      <t>kgs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</t>
    </r>
  </si>
  <si>
    <r>
      <t>$ / kg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</si>
  <si>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Daily bus usage</t>
  </si>
  <si>
    <t>Bus - public</t>
  </si>
  <si>
    <t>Single value</t>
  </si>
  <si>
    <t>Transport category</t>
  </si>
  <si>
    <t>£ / $</t>
  </si>
  <si>
    <t>QAS - VCS</t>
  </si>
  <si>
    <t>QAS - retiring VCS credits</t>
  </si>
  <si>
    <t>QAS - Gold Standard VER</t>
  </si>
  <si>
    <t>Gold Standard</t>
  </si>
  <si>
    <t>VCS</t>
  </si>
  <si>
    <t>none found</t>
  </si>
  <si>
    <t>Total payment $</t>
  </si>
  <si>
    <t>Total payment £</t>
  </si>
  <si>
    <t>Currency</t>
  </si>
  <si>
    <t>Average of 3</t>
  </si>
  <si>
    <t>Average of 2</t>
  </si>
  <si>
    <t>as Train - UK</t>
  </si>
  <si>
    <t>as Train - UK * 2</t>
  </si>
</sst>
</file>

<file path=xl/styles.xml><?xml version="1.0" encoding="utf-8"?>
<styleSheet xmlns="http://schemas.openxmlformats.org/spreadsheetml/2006/main">
  <numFmts count="2">
    <numFmt numFmtId="164" formatCode="[$$-1009]#,##0.00"/>
    <numFmt numFmtId="165" formatCode="&quot;£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vertAlign val="subscript"/>
      <sz val="14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0" fillId="0" borderId="0" xfId="0" applyNumberFormat="1"/>
    <xf numFmtId="11" fontId="0" fillId="0" borderId="0" xfId="0" applyNumberFormat="1"/>
    <xf numFmtId="0" fontId="0" fillId="0" borderId="0" xfId="0" applyNumberFormat="1" applyAlignment="1">
      <alignment horizontal="left"/>
    </xf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/>
    <xf numFmtId="0" fontId="5" fillId="0" borderId="0" xfId="0" applyFont="1"/>
    <xf numFmtId="9" fontId="0" fillId="0" borderId="0" xfId="1" applyFont="1"/>
    <xf numFmtId="164" fontId="0" fillId="0" borderId="0" xfId="0" applyNumberFormat="1"/>
    <xf numFmtId="0" fontId="1" fillId="2" borderId="0" xfId="0" applyFont="1" applyFill="1"/>
    <xf numFmtId="0" fontId="0" fillId="3" borderId="0" xfId="0" applyFill="1"/>
    <xf numFmtId="3" fontId="0" fillId="3" borderId="0" xfId="0" applyNumberFormat="1" applyFill="1"/>
    <xf numFmtId="0" fontId="1" fillId="2" borderId="0" xfId="0" applyFont="1" applyFill="1" applyBorder="1"/>
    <xf numFmtId="9" fontId="1" fillId="2" borderId="0" xfId="1" applyFont="1" applyFill="1" applyBorder="1"/>
    <xf numFmtId="3" fontId="1" fillId="2" borderId="0" xfId="0" applyNumberFormat="1" applyFont="1" applyFill="1" applyBorder="1"/>
    <xf numFmtId="164" fontId="1" fillId="2" borderId="0" xfId="0" applyNumberFormat="1" applyFont="1" applyFill="1" applyBorder="1"/>
    <xf numFmtId="3" fontId="0" fillId="4" borderId="0" xfId="0" applyNumberFormat="1" applyFill="1"/>
    <xf numFmtId="0" fontId="1" fillId="3" borderId="0" xfId="0" applyFont="1" applyFill="1"/>
    <xf numFmtId="3" fontId="1" fillId="4" borderId="0" xfId="0" applyNumberFormat="1" applyFont="1" applyFill="1"/>
    <xf numFmtId="0" fontId="1" fillId="0" borderId="0" xfId="0" applyFont="1" applyBorder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Font="1"/>
    <xf numFmtId="3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ill="1" applyBorder="1"/>
    <xf numFmtId="0" fontId="4" fillId="0" borderId="0" xfId="0" applyFont="1" applyBorder="1"/>
    <xf numFmtId="11" fontId="0" fillId="0" borderId="0" xfId="0" applyNumberFormat="1" applyBorder="1"/>
    <xf numFmtId="11" fontId="0" fillId="0" borderId="0" xfId="0" applyNumberFormat="1" applyFill="1" applyBorder="1"/>
    <xf numFmtId="0" fontId="4" fillId="5" borderId="0" xfId="0" applyFont="1" applyFill="1" applyBorder="1"/>
    <xf numFmtId="0" fontId="0" fillId="5" borderId="0" xfId="0" applyFill="1" applyBorder="1"/>
    <xf numFmtId="165" fontId="0" fillId="0" borderId="0" xfId="0" applyNumberFormat="1"/>
    <xf numFmtId="0" fontId="0" fillId="2" borderId="0" xfId="0" applyFill="1"/>
    <xf numFmtId="165" fontId="1" fillId="2" borderId="0" xfId="0" applyNumberFormat="1" applyFont="1" applyFill="1"/>
  </cellXfs>
  <cellStyles count="2">
    <cellStyle name="Normal" xfId="0" builtinId="0"/>
    <cellStyle name="Percent" xfId="1" builtinId="5"/>
  </cellStyles>
  <dxfs count="2"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859.394392592592" createdVersion="3" refreshedVersion="3" minRefreshableVersion="3" recordCount="44">
  <cacheSource type="worksheet">
    <worksheetSource ref="B1:H1048576" sheet="2019-Travel"/>
  </cacheSource>
  <cacheFields count="7">
    <cacheField name="Year" numFmtId="0">
      <sharedItems containsString="0" containsBlank="1" containsNumber="1" containsInteger="1" minValue="2019" maxValue="2022" count="5">
        <n v="2019"/>
        <m/>
        <n v="2022" u="1"/>
        <n v="2020" u="1"/>
        <n v="2021" u="1"/>
      </sharedItems>
    </cacheField>
    <cacheField name="Trip" numFmtId="0">
      <sharedItems containsBlank="1" count="7">
        <s v="India"/>
        <s v="Munich"/>
        <s v="Indochina &amp; down under"/>
        <s v="Christmas"/>
        <s v="Tenby"/>
        <s v="Daily bus usage"/>
        <m/>
      </sharedItems>
    </cacheField>
    <cacheField name="From" numFmtId="0">
      <sharedItems containsBlank="1"/>
    </cacheField>
    <cacheField name="To" numFmtId="0">
      <sharedItems containsBlank="1"/>
    </cacheField>
    <cacheField name="Transport" numFmtId="0">
      <sharedItems containsBlank="1" count="7">
        <s v="Plane - long haul"/>
        <s v="Car - economy"/>
        <s v="Train - Indian Railways"/>
        <s v="Train - Toy train"/>
        <s v="Train - UK"/>
        <s v="Bus - public"/>
        <m/>
      </sharedItems>
    </cacheField>
    <cacheField name="Distance (kms)" numFmtId="0">
      <sharedItems containsString="0" containsBlank="1" containsNumber="1" containsInteger="1" minValue="44" maxValue="9056"/>
    </cacheField>
    <cacheField name="kgs CO2 " numFmtId="0">
      <sharedItems containsString="0" containsBlank="1" containsNumber="1" minValue="1.9411764705882351" maxValue="1343.306666666666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x v="0"/>
    <x v="0"/>
    <s v="Heathrow"/>
    <s v="Doha"/>
    <x v="0"/>
    <n v="5213"/>
    <n v="773.26166666666677"/>
  </r>
  <r>
    <x v="0"/>
    <x v="0"/>
    <s v="Doha"/>
    <s v="Kolkata"/>
    <x v="0"/>
    <n v="3742"/>
    <n v="555.06333333333339"/>
  </r>
  <r>
    <x v="0"/>
    <x v="0"/>
    <s v="Bagdogra"/>
    <s v="Delhi"/>
    <x v="0"/>
    <n v="1120"/>
    <n v="166.13333333333335"/>
  </r>
  <r>
    <x v="0"/>
    <x v="0"/>
    <s v="Delhi"/>
    <s v="Heathrow"/>
    <x v="0"/>
    <n v="6730"/>
    <n v="998.28333333333342"/>
  </r>
  <r>
    <x v="0"/>
    <x v="0"/>
    <s v="Delhi"/>
    <s v="Jaipur"/>
    <x v="1"/>
    <n v="281"/>
    <n v="50.205333333333336"/>
  </r>
  <r>
    <x v="0"/>
    <x v="0"/>
    <s v="Jaipur"/>
    <s v="Bikaner"/>
    <x v="1"/>
    <n v="335"/>
    <n v="59.853333333333332"/>
  </r>
  <r>
    <x v="0"/>
    <x v="0"/>
    <s v="Bikaner"/>
    <s v="Jaisalmer"/>
    <x v="1"/>
    <n v="331"/>
    <n v="59.138666666666666"/>
  </r>
  <r>
    <x v="0"/>
    <x v="0"/>
    <s v="Jaisalmer"/>
    <s v="Jodhpur"/>
    <x v="1"/>
    <n v="283"/>
    <n v="50.562666666666665"/>
  </r>
  <r>
    <x v="0"/>
    <x v="0"/>
    <s v="Jodhpur"/>
    <s v="Jaipur"/>
    <x v="1"/>
    <n v="370"/>
    <n v="66.106666666666669"/>
  </r>
  <r>
    <x v="0"/>
    <x v="0"/>
    <s v="Jaipur"/>
    <s v="Delhi"/>
    <x v="1"/>
    <n v="281"/>
    <n v="50.205333333333336"/>
  </r>
  <r>
    <x v="0"/>
    <x v="0"/>
    <s v="Kolkata"/>
    <s v="NJP"/>
    <x v="2"/>
    <n v="559"/>
    <n v="24.661764705882351"/>
  </r>
  <r>
    <x v="0"/>
    <x v="0"/>
    <s v="NJP"/>
    <s v="Darjeeling"/>
    <x v="3"/>
    <n v="70"/>
    <n v="6.1764705882352935"/>
  </r>
  <r>
    <x v="0"/>
    <x v="0"/>
    <s v="Darjeeling"/>
    <s v="Bagdogra"/>
    <x v="1"/>
    <n v="67"/>
    <n v="11.970666666666666"/>
  </r>
  <r>
    <x v="0"/>
    <x v="0"/>
    <s v="Brighton"/>
    <s v="Heathrow"/>
    <x v="4"/>
    <n v="124"/>
    <n v="5.4705882352941169"/>
  </r>
  <r>
    <x v="0"/>
    <x v="0"/>
    <s v="Heathrow"/>
    <s v="Brighton"/>
    <x v="4"/>
    <n v="124"/>
    <n v="5.4705882352941169"/>
  </r>
  <r>
    <x v="0"/>
    <x v="1"/>
    <s v="Brighton"/>
    <s v="Gatwick"/>
    <x v="4"/>
    <n v="44"/>
    <n v="1.9411764705882351"/>
  </r>
  <r>
    <x v="0"/>
    <x v="1"/>
    <s v="Gatwick"/>
    <s v="Munich"/>
    <x v="0"/>
    <n v="1148"/>
    <n v="170.28666666666669"/>
  </r>
  <r>
    <x v="0"/>
    <x v="1"/>
    <s v="Munich"/>
    <s v="Gatwick"/>
    <x v="0"/>
    <n v="1148"/>
    <n v="170.28666666666669"/>
  </r>
  <r>
    <x v="0"/>
    <x v="1"/>
    <s v="Gatwick"/>
    <s v="Brighton"/>
    <x v="4"/>
    <n v="44"/>
    <n v="1.9411764705882351"/>
  </r>
  <r>
    <x v="0"/>
    <x v="2"/>
    <s v="Brighton"/>
    <s v="Gatwick"/>
    <x v="4"/>
    <n v="44"/>
    <n v="1.9411764705882351"/>
  </r>
  <r>
    <x v="0"/>
    <x v="2"/>
    <s v="Gatwick"/>
    <s v="Athens"/>
    <x v="0"/>
    <n v="3204"/>
    <n v="475.26000000000005"/>
  </r>
  <r>
    <x v="0"/>
    <x v="2"/>
    <s v="Athens"/>
    <s v="Singapore"/>
    <x v="0"/>
    <n v="9056"/>
    <n v="1343.3066666666668"/>
  </r>
  <r>
    <x v="0"/>
    <x v="2"/>
    <s v="Singapore"/>
    <s v="Hanoi City Vietnam"/>
    <x v="0"/>
    <n v="3183"/>
    <n v="472.14500000000004"/>
  </r>
  <r>
    <x v="0"/>
    <x v="2"/>
    <s v="Hanoi"/>
    <s v="Hue"/>
    <x v="4"/>
    <n v="668"/>
    <n v="29.470588235294116"/>
  </r>
  <r>
    <x v="0"/>
    <x v="2"/>
    <s v="Da Nang"/>
    <s v="Ho Chi Minh City"/>
    <x v="4"/>
    <n v="965"/>
    <n v="42.573529411764703"/>
  </r>
  <r>
    <x v="0"/>
    <x v="2"/>
    <s v="Ho Chi Minh City"/>
    <s v="Phnom Penh"/>
    <x v="0"/>
    <n v="227"/>
    <n v="33.671666666666667"/>
  </r>
  <r>
    <x v="0"/>
    <x v="2"/>
    <s v="Phnom Penh"/>
    <s v="Singapore"/>
    <x v="0"/>
    <n v="2537"/>
    <n v="376.32166666666672"/>
  </r>
  <r>
    <x v="0"/>
    <x v="2"/>
    <s v="Singapore"/>
    <s v="Perth"/>
    <x v="0"/>
    <n v="3914"/>
    <n v="580.57666666666671"/>
  </r>
  <r>
    <x v="0"/>
    <x v="2"/>
    <s v="Perth"/>
    <s v="Sydney"/>
    <x v="0"/>
    <n v="3917"/>
    <n v="581.02166666666676"/>
  </r>
  <r>
    <x v="0"/>
    <x v="2"/>
    <s v="Sydney"/>
    <s v="Auckland"/>
    <x v="0"/>
    <n v="2157"/>
    <n v="319.95500000000004"/>
  </r>
  <r>
    <x v="0"/>
    <x v="2"/>
    <s v="Auckland"/>
    <s v="Wellington"/>
    <x v="0"/>
    <n v="476"/>
    <n v="70.606666666666669"/>
  </r>
  <r>
    <x v="0"/>
    <x v="2"/>
    <s v="Wellington"/>
    <s v="Melbourne"/>
    <x v="0"/>
    <n v="2586"/>
    <n v="383.59000000000003"/>
  </r>
  <r>
    <x v="0"/>
    <x v="2"/>
    <s v="Melbourne"/>
    <s v="Colombo"/>
    <x v="0"/>
    <n v="8368"/>
    <n v="1241.2533333333333"/>
  </r>
  <r>
    <x v="0"/>
    <x v="2"/>
    <s v="Colombo"/>
    <s v="Kiev"/>
    <x v="0"/>
    <n v="6603"/>
    <n v="979.44500000000005"/>
  </r>
  <r>
    <x v="0"/>
    <x v="2"/>
    <s v="Kiev"/>
    <s v="Gatwick"/>
    <x v="0"/>
    <n v="2444"/>
    <n v="362.5266666666667"/>
  </r>
  <r>
    <x v="0"/>
    <x v="2"/>
    <s v="Gatwick"/>
    <s v="Brighton"/>
    <x v="4"/>
    <n v="44"/>
    <n v="1.9411764705882351"/>
  </r>
  <r>
    <x v="0"/>
    <x v="3"/>
    <s v="Brighton"/>
    <s v="Tenby"/>
    <x v="1"/>
    <n v="445"/>
    <n v="79.506666666666661"/>
  </r>
  <r>
    <x v="0"/>
    <x v="3"/>
    <s v="Tenby"/>
    <s v="York"/>
    <x v="1"/>
    <n v="538"/>
    <n v="96.122666666666674"/>
  </r>
  <r>
    <x v="0"/>
    <x v="3"/>
    <s v="York"/>
    <s v="Manchester"/>
    <x v="1"/>
    <n v="114"/>
    <n v="20.367999999999999"/>
  </r>
  <r>
    <x v="0"/>
    <x v="3"/>
    <s v="Manchester"/>
    <s v="Brighton"/>
    <x v="1"/>
    <n v="417"/>
    <n v="74.504000000000005"/>
  </r>
  <r>
    <x v="0"/>
    <x v="4"/>
    <s v="Brighton"/>
    <s v="Tenby"/>
    <x v="1"/>
    <n v="445"/>
    <n v="79.506666666666661"/>
  </r>
  <r>
    <x v="0"/>
    <x v="4"/>
    <s v="Tenby"/>
    <s v="Brighton"/>
    <x v="1"/>
    <n v="445"/>
    <n v="79.506666666666661"/>
  </r>
  <r>
    <x v="0"/>
    <x v="5"/>
    <s v="Brighton"/>
    <s v="Brighton"/>
    <x v="5"/>
    <n v="840"/>
    <n v="90"/>
  </r>
  <r>
    <x v="1"/>
    <x v="6"/>
    <m/>
    <m/>
    <x v="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J3:L24" firstHeaderRow="1" firstDataRow="2" firstDataCol="1"/>
  <pivotFields count="7">
    <pivotField axis="axisRow" showAll="0">
      <items count="6">
        <item x="0"/>
        <item h="1" x="1"/>
        <item h="1" m="1" x="3"/>
        <item h="1" m="1" x="4"/>
        <item h="1" m="1" x="2"/>
        <item t="default"/>
      </items>
    </pivotField>
    <pivotField axis="axisRow" showAll="0">
      <items count="8">
        <item x="0"/>
        <item x="6"/>
        <item x="1"/>
        <item x="2"/>
        <item x="3"/>
        <item x="4"/>
        <item x="5"/>
        <item t="default"/>
      </items>
    </pivotField>
    <pivotField showAll="0"/>
    <pivotField showAll="0"/>
    <pivotField axis="axisRow" showAll="0" defaultSubtotal="0">
      <items count="7">
        <item x="1"/>
        <item x="0"/>
        <item x="2"/>
        <item x="3"/>
        <item x="4"/>
        <item x="6"/>
        <item x="5"/>
      </items>
    </pivotField>
    <pivotField dataField="1" showAll="0"/>
    <pivotField dataField="1" showAll="0" defaultSubtotal="0"/>
  </pivotFields>
  <rowFields count="3">
    <field x="0"/>
    <field x="1"/>
    <field x="4"/>
  </rowFields>
  <rowItems count="20">
    <i>
      <x/>
    </i>
    <i r="1">
      <x/>
    </i>
    <i r="2">
      <x/>
    </i>
    <i r="2">
      <x v="1"/>
    </i>
    <i r="2">
      <x v="2"/>
    </i>
    <i r="2">
      <x v="3"/>
    </i>
    <i r="2">
      <x v="4"/>
    </i>
    <i r="1">
      <x v="2"/>
    </i>
    <i r="2">
      <x v="1"/>
    </i>
    <i r="2">
      <x v="4"/>
    </i>
    <i r="1">
      <x v="3"/>
    </i>
    <i r="2">
      <x v="1"/>
    </i>
    <i r="2">
      <x v="4"/>
    </i>
    <i r="1">
      <x v="4"/>
    </i>
    <i r="2">
      <x/>
    </i>
    <i r="1">
      <x v="5"/>
    </i>
    <i r="2">
      <x/>
    </i>
    <i r="1">
      <x v="6"/>
    </i>
    <i r="2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Distance (kms)" fld="5" baseField="0" baseItem="0" numFmtId="3"/>
    <dataField name="Sum of kgs CO2 " fld="6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U44"/>
  <sheetViews>
    <sheetView tabSelected="1" workbookViewId="0"/>
  </sheetViews>
  <sheetFormatPr defaultRowHeight="15"/>
  <cols>
    <col min="1" max="1" width="10.28515625" customWidth="1"/>
    <col min="2" max="2" width="11.140625" customWidth="1"/>
    <col min="3" max="3" width="24.140625" customWidth="1"/>
    <col min="4" max="4" width="11.28515625" customWidth="1"/>
    <col min="5" max="5" width="15.7109375" customWidth="1"/>
    <col min="6" max="6" width="22" customWidth="1"/>
    <col min="7" max="7" width="14.7109375" customWidth="1"/>
    <col min="8" max="8" width="9.85546875" customWidth="1"/>
    <col min="9" max="9" width="6.28515625" customWidth="1"/>
    <col min="10" max="10" width="27" customWidth="1"/>
    <col min="11" max="11" width="20.85546875" customWidth="1"/>
    <col min="12" max="12" width="15" customWidth="1"/>
    <col min="13" max="13" width="6.7109375" customWidth="1"/>
    <col min="14" max="14" width="26.7109375" customWidth="1"/>
    <col min="15" max="15" width="14" customWidth="1"/>
    <col min="16" max="16" width="26" customWidth="1"/>
    <col min="17" max="17" width="9.85546875" customWidth="1"/>
    <col min="18" max="18" width="12.7109375" customWidth="1"/>
    <col min="19" max="19" width="11" customWidth="1"/>
    <col min="20" max="20" width="15" customWidth="1"/>
    <col min="21" max="21" width="16" customWidth="1"/>
    <col min="22" max="22" width="27.140625" bestFit="1" customWidth="1"/>
    <col min="23" max="23" width="22.28515625" bestFit="1" customWidth="1"/>
    <col min="24" max="24" width="26" bestFit="1" customWidth="1"/>
    <col min="25" max="25" width="21" customWidth="1"/>
    <col min="26" max="26" width="22.28515625" bestFit="1" customWidth="1"/>
    <col min="27" max="27" width="27.140625" bestFit="1" customWidth="1"/>
    <col min="28" max="28" width="22.28515625" bestFit="1" customWidth="1"/>
    <col min="29" max="29" width="27.140625" bestFit="1" customWidth="1"/>
    <col min="30" max="30" width="22.28515625" bestFit="1" customWidth="1"/>
    <col min="31" max="31" width="26" bestFit="1" customWidth="1"/>
    <col min="32" max="32" width="21" bestFit="1" customWidth="1"/>
  </cols>
  <sheetData>
    <row r="1" spans="1:21" s="11" customFormat="1" ht="20.25">
      <c r="A1" s="10" t="s">
        <v>83</v>
      </c>
      <c r="B1" s="1" t="s">
        <v>8</v>
      </c>
      <c r="C1" s="1" t="s">
        <v>9</v>
      </c>
      <c r="D1" s="1" t="s">
        <v>1</v>
      </c>
      <c r="E1" s="1" t="s">
        <v>0</v>
      </c>
      <c r="F1" s="1" t="s">
        <v>111</v>
      </c>
      <c r="G1" s="1" t="s">
        <v>2</v>
      </c>
      <c r="H1" s="1" t="s">
        <v>106</v>
      </c>
      <c r="I1" s="1"/>
      <c r="J1" s="10" t="s">
        <v>37</v>
      </c>
      <c r="N1" s="10" t="s">
        <v>38</v>
      </c>
      <c r="O1" s="10"/>
    </row>
    <row r="2" spans="1:21">
      <c r="B2" s="4">
        <v>2019</v>
      </c>
      <c r="C2" s="2" t="s">
        <v>10</v>
      </c>
      <c r="D2" t="s">
        <v>3</v>
      </c>
      <c r="E2" t="s">
        <v>4</v>
      </c>
      <c r="F2" t="s">
        <v>32</v>
      </c>
      <c r="G2" s="5">
        <v>5213</v>
      </c>
      <c r="H2" s="5">
        <f>G2*VLOOKUP(F2,Transport!A:B,2,FALSE)</f>
        <v>773.26166666666677</v>
      </c>
      <c r="I2" s="5"/>
    </row>
    <row r="3" spans="1:21" ht="18">
      <c r="B3" s="4">
        <v>2019</v>
      </c>
      <c r="C3" s="2" t="s">
        <v>10</v>
      </c>
      <c r="D3" t="s">
        <v>4</v>
      </c>
      <c r="E3" t="s">
        <v>5</v>
      </c>
      <c r="F3" t="s">
        <v>32</v>
      </c>
      <c r="G3" s="5">
        <v>3742</v>
      </c>
      <c r="H3" s="5">
        <f>G3*VLOOKUP(F3,Transport!A:B,2,FALSE)</f>
        <v>555.06333333333339</v>
      </c>
      <c r="I3" s="5"/>
      <c r="K3" s="6" t="s">
        <v>53</v>
      </c>
      <c r="N3" s="14" t="s">
        <v>11</v>
      </c>
      <c r="O3" s="14" t="s">
        <v>12</v>
      </c>
      <c r="P3" s="14" t="s">
        <v>79</v>
      </c>
      <c r="Q3" s="14" t="s">
        <v>107</v>
      </c>
      <c r="R3" s="14" t="s">
        <v>39</v>
      </c>
      <c r="S3" s="14" t="s">
        <v>40</v>
      </c>
      <c r="T3" s="14" t="s">
        <v>119</v>
      </c>
      <c r="U3" s="14" t="s">
        <v>120</v>
      </c>
    </row>
    <row r="4" spans="1:21">
      <c r="B4" s="4">
        <v>2019</v>
      </c>
      <c r="C4" s="2" t="s">
        <v>10</v>
      </c>
      <c r="D4" t="s">
        <v>6</v>
      </c>
      <c r="E4" t="s">
        <v>7</v>
      </c>
      <c r="F4" t="s">
        <v>32</v>
      </c>
      <c r="G4" s="5">
        <v>1120</v>
      </c>
      <c r="H4" s="5">
        <f>G4*VLOOKUP(F4,Transport!A:B,2,FALSE)</f>
        <v>166.13333333333335</v>
      </c>
      <c r="I4" s="5"/>
      <c r="J4" s="6" t="s">
        <v>21</v>
      </c>
      <c r="K4" t="s">
        <v>20</v>
      </c>
      <c r="L4" t="s">
        <v>105</v>
      </c>
      <c r="N4" t="str">
        <f>Projects!A2</f>
        <v>Improved Cookstoves</v>
      </c>
      <c r="O4" t="str">
        <f>Projects!B2</f>
        <v>Kenya</v>
      </c>
      <c r="P4" t="str">
        <f>IF(Projects!G2="","none",Projects!G2)</f>
        <v>Gold Standard</v>
      </c>
      <c r="Q4" s="3">
        <f>Projects!C2</f>
        <v>1.980082987551867E-2</v>
      </c>
      <c r="R4" s="12">
        <v>0</v>
      </c>
      <c r="S4" s="5" t="str">
        <f>IF(R4=0,"",R4*$Q$24)</f>
        <v/>
      </c>
      <c r="T4" s="13" t="str">
        <f>IF(R4=0,"",S4*Q4)</f>
        <v/>
      </c>
      <c r="U4" s="36" t="str">
        <f>IF(R4=0,"",T4/$Q$25)</f>
        <v/>
      </c>
    </row>
    <row r="5" spans="1:21">
      <c r="B5" s="4">
        <v>2019</v>
      </c>
      <c r="C5" s="2" t="s">
        <v>10</v>
      </c>
      <c r="D5" t="s">
        <v>7</v>
      </c>
      <c r="E5" t="s">
        <v>3</v>
      </c>
      <c r="F5" t="s">
        <v>32</v>
      </c>
      <c r="G5" s="5">
        <v>6730</v>
      </c>
      <c r="H5" s="5">
        <f>G5*VLOOKUP(F5,Transport!A:B,2,FALSE)</f>
        <v>998.28333333333342</v>
      </c>
      <c r="I5" s="5"/>
      <c r="J5" s="7">
        <v>2019</v>
      </c>
      <c r="K5" s="5">
        <v>75651</v>
      </c>
      <c r="L5" s="5">
        <v>11042.140568627452</v>
      </c>
      <c r="N5" t="str">
        <f>Projects!A3</f>
        <v>Forest Plantations</v>
      </c>
      <c r="O5" t="str">
        <f>Projects!B3</f>
        <v>Uruguay</v>
      </c>
      <c r="P5" t="str">
        <f>IF(Projects!G3="","none",Projects!G3)</f>
        <v>VCS</v>
      </c>
      <c r="Q5" s="3">
        <f>Projects!C3</f>
        <v>1.375103734439834E-2</v>
      </c>
      <c r="R5" s="12">
        <v>0</v>
      </c>
      <c r="S5" s="5" t="str">
        <f t="shared" ref="S5:S16" si="0">IF(R5=0,"",R5*$Q$24)</f>
        <v/>
      </c>
      <c r="T5" s="13" t="str">
        <f t="shared" ref="T5:T16" si="1">IF(R5=0,"",S5*Q5)</f>
        <v/>
      </c>
      <c r="U5" s="36" t="str">
        <f t="shared" ref="U5:U16" si="2">IF(R5=0,"",T5/$Q$25)</f>
        <v/>
      </c>
    </row>
    <row r="6" spans="1:21">
      <c r="B6" s="4">
        <v>2019</v>
      </c>
      <c r="C6" s="2" t="s">
        <v>10</v>
      </c>
      <c r="D6" t="s">
        <v>7</v>
      </c>
      <c r="E6" t="s">
        <v>23</v>
      </c>
      <c r="F6" t="s">
        <v>33</v>
      </c>
      <c r="G6" s="5">
        <v>281</v>
      </c>
      <c r="H6" s="5">
        <f>G6*VLOOKUP(F6,Transport!A:B,2,FALSE)</f>
        <v>50.205333333333336</v>
      </c>
      <c r="I6" s="5"/>
      <c r="J6" s="8" t="s">
        <v>10</v>
      </c>
      <c r="K6" s="5">
        <v>19630</v>
      </c>
      <c r="L6" s="5">
        <v>2882.5637450980398</v>
      </c>
      <c r="N6" t="str">
        <f>Projects!A4</f>
        <v>Biomass Conservation</v>
      </c>
      <c r="O6" t="str">
        <f>Projects!B4</f>
        <v>Malawi</v>
      </c>
      <c r="P6" t="str">
        <f>IF(Projects!G4="","none",Projects!G4)</f>
        <v>Gold Standard</v>
      </c>
      <c r="Q6" s="3">
        <f>Projects!C4</f>
        <v>3.2199170124481327E-2</v>
      </c>
      <c r="R6" s="12">
        <v>0</v>
      </c>
      <c r="S6" s="5" t="str">
        <f t="shared" si="0"/>
        <v/>
      </c>
      <c r="T6" s="13" t="str">
        <f t="shared" si="1"/>
        <v/>
      </c>
      <c r="U6" s="36" t="str">
        <f t="shared" si="2"/>
        <v/>
      </c>
    </row>
    <row r="7" spans="1:21">
      <c r="B7" s="4">
        <v>2019</v>
      </c>
      <c r="C7" s="2" t="s">
        <v>10</v>
      </c>
      <c r="D7" t="s">
        <v>23</v>
      </c>
      <c r="E7" t="s">
        <v>24</v>
      </c>
      <c r="F7" t="s">
        <v>33</v>
      </c>
      <c r="G7" s="5">
        <v>335</v>
      </c>
      <c r="H7" s="5">
        <f>G7*VLOOKUP(F7,Transport!A:B,2,FALSE)</f>
        <v>59.853333333333332</v>
      </c>
      <c r="I7" s="5"/>
      <c r="J7" s="9" t="s">
        <v>33</v>
      </c>
      <c r="K7" s="5">
        <v>1948</v>
      </c>
      <c r="L7" s="5">
        <v>348.04266666666666</v>
      </c>
      <c r="N7" t="str">
        <f>Projects!A5</f>
        <v>Wind Power</v>
      </c>
      <c r="O7" t="str">
        <f>Projects!B5</f>
        <v>Turkey</v>
      </c>
      <c r="P7" t="str">
        <f>IF(Projects!G5="","none",Projects!G5)</f>
        <v>Gold Standard</v>
      </c>
      <c r="Q7" s="3">
        <f>Projects!C5</f>
        <v>8.1991701244813284E-3</v>
      </c>
      <c r="R7" s="12">
        <v>0</v>
      </c>
      <c r="S7" s="5" t="str">
        <f t="shared" si="0"/>
        <v/>
      </c>
      <c r="T7" s="13" t="str">
        <f t="shared" si="1"/>
        <v/>
      </c>
      <c r="U7" s="36" t="str">
        <f t="shared" si="2"/>
        <v/>
      </c>
    </row>
    <row r="8" spans="1:21">
      <c r="B8" s="4">
        <v>2019</v>
      </c>
      <c r="C8" s="2" t="s">
        <v>10</v>
      </c>
      <c r="D8" t="s">
        <v>24</v>
      </c>
      <c r="E8" t="s">
        <v>25</v>
      </c>
      <c r="F8" t="s">
        <v>33</v>
      </c>
      <c r="G8" s="5">
        <v>331</v>
      </c>
      <c r="H8" s="5">
        <f>G8*VLOOKUP(F8,Transport!A:B,2,FALSE)</f>
        <v>59.138666666666666</v>
      </c>
      <c r="I8" s="5"/>
      <c r="J8" s="9" t="s">
        <v>32</v>
      </c>
      <c r="K8" s="5">
        <v>16805</v>
      </c>
      <c r="L8" s="5">
        <v>2492.7416666666672</v>
      </c>
      <c r="N8" t="str">
        <f>Projects!A6</f>
        <v>Reforestation</v>
      </c>
      <c r="O8" t="str">
        <f>Projects!B6</f>
        <v>Nicaragua</v>
      </c>
      <c r="P8" t="str">
        <f>IF(Projects!G6="","none",Projects!G6)</f>
        <v>none found</v>
      </c>
      <c r="Q8" s="3">
        <f>Projects!C6</f>
        <v>2.8000000000000001E-2</v>
      </c>
      <c r="R8" s="12">
        <v>0</v>
      </c>
      <c r="S8" s="5" t="str">
        <f t="shared" si="0"/>
        <v/>
      </c>
      <c r="T8" s="13" t="str">
        <f t="shared" si="1"/>
        <v/>
      </c>
      <c r="U8" s="36" t="str">
        <f t="shared" si="2"/>
        <v/>
      </c>
    </row>
    <row r="9" spans="1:21">
      <c r="B9" s="4">
        <v>2019</v>
      </c>
      <c r="C9" s="2" t="s">
        <v>10</v>
      </c>
      <c r="D9" t="s">
        <v>25</v>
      </c>
      <c r="E9" t="s">
        <v>28</v>
      </c>
      <c r="F9" t="s">
        <v>33</v>
      </c>
      <c r="G9" s="5">
        <v>283</v>
      </c>
      <c r="H9" s="5">
        <f>G9*VLOOKUP(F9,Transport!A:B,2,FALSE)</f>
        <v>50.562666666666665</v>
      </c>
      <c r="I9" s="5"/>
      <c r="J9" s="9" t="s">
        <v>34</v>
      </c>
      <c r="K9" s="5">
        <v>559</v>
      </c>
      <c r="L9" s="5">
        <v>24.661764705882351</v>
      </c>
      <c r="N9" t="str">
        <f>Projects!A7</f>
        <v>Carbon offset</v>
      </c>
      <c r="O9" t="str">
        <f>Projects!B7</f>
        <v>Switzerland</v>
      </c>
      <c r="P9" t="str">
        <f>IF(Projects!G7="","none",Projects!G7)</f>
        <v>none found</v>
      </c>
      <c r="Q9" s="3">
        <f>Projects!C7</f>
        <v>8.4000000000000005E-2</v>
      </c>
      <c r="R9" s="12">
        <v>0</v>
      </c>
      <c r="S9" s="5" t="str">
        <f t="shared" si="0"/>
        <v/>
      </c>
      <c r="T9" s="13" t="str">
        <f t="shared" si="1"/>
        <v/>
      </c>
      <c r="U9" s="36" t="str">
        <f t="shared" si="2"/>
        <v/>
      </c>
    </row>
    <row r="10" spans="1:21">
      <c r="B10" s="4">
        <v>2019</v>
      </c>
      <c r="C10" s="2" t="s">
        <v>10</v>
      </c>
      <c r="D10" t="s">
        <v>28</v>
      </c>
      <c r="E10" t="s">
        <v>23</v>
      </c>
      <c r="F10" t="s">
        <v>33</v>
      </c>
      <c r="G10" s="5">
        <v>370</v>
      </c>
      <c r="H10" s="5">
        <f>G10*VLOOKUP(F10,Transport!A:B,2,FALSE)</f>
        <v>66.106666666666669</v>
      </c>
      <c r="I10" s="5"/>
      <c r="J10" s="9" t="s">
        <v>35</v>
      </c>
      <c r="K10" s="5">
        <v>70</v>
      </c>
      <c r="L10" s="5">
        <v>6.1764705882352935</v>
      </c>
      <c r="N10" t="str">
        <f>Projects!A8</f>
        <v>Improved CookStoves2</v>
      </c>
      <c r="O10" t="str">
        <f>Projects!B8</f>
        <v>Kenya</v>
      </c>
      <c r="P10" t="str">
        <f>IF(Projects!G8="","none",Projects!G8)</f>
        <v>none found</v>
      </c>
      <c r="Q10" s="3">
        <f>Projects!C8</f>
        <v>2.9333333333333333E-2</v>
      </c>
      <c r="R10" s="12">
        <v>0</v>
      </c>
      <c r="S10" s="5" t="str">
        <f t="shared" si="0"/>
        <v/>
      </c>
      <c r="T10" s="13" t="str">
        <f t="shared" si="1"/>
        <v/>
      </c>
      <c r="U10" s="36" t="str">
        <f t="shared" si="2"/>
        <v/>
      </c>
    </row>
    <row r="11" spans="1:21">
      <c r="B11" s="4">
        <v>2019</v>
      </c>
      <c r="C11" s="2" t="s">
        <v>10</v>
      </c>
      <c r="D11" t="s">
        <v>23</v>
      </c>
      <c r="E11" t="s">
        <v>7</v>
      </c>
      <c r="F11" t="s">
        <v>33</v>
      </c>
      <c r="G11" s="5">
        <v>281</v>
      </c>
      <c r="H11" s="5">
        <f>G11*VLOOKUP(F11,Transport!A:B,2,FALSE)</f>
        <v>50.205333333333336</v>
      </c>
      <c r="I11" s="5"/>
      <c r="J11" s="9" t="s">
        <v>36</v>
      </c>
      <c r="K11" s="5">
        <v>248</v>
      </c>
      <c r="L11" s="5">
        <v>10.941176470588234</v>
      </c>
      <c r="N11" t="str">
        <f>Projects!A9</f>
        <v>Global Portfolio</v>
      </c>
      <c r="O11" t="str">
        <f>Projects!B9</f>
        <v>Global</v>
      </c>
      <c r="P11" t="str">
        <f>IF(Projects!G9="","none",Projects!G9)</f>
        <v>QAS - VCS</v>
      </c>
      <c r="Q11" s="3">
        <f>Projects!C9</f>
        <v>8.1461538461538464E-3</v>
      </c>
      <c r="R11" s="12">
        <v>0.3</v>
      </c>
      <c r="S11" s="5">
        <f t="shared" si="0"/>
        <v>3312.6421705882353</v>
      </c>
      <c r="T11" s="13">
        <f t="shared" si="1"/>
        <v>26.985292758868781</v>
      </c>
      <c r="U11" s="36">
        <f t="shared" si="2"/>
        <v>20.757917506822139</v>
      </c>
    </row>
    <row r="12" spans="1:21">
      <c r="B12" s="4">
        <v>2019</v>
      </c>
      <c r="C12" s="2" t="s">
        <v>10</v>
      </c>
      <c r="D12" t="s">
        <v>5</v>
      </c>
      <c r="E12" t="s">
        <v>26</v>
      </c>
      <c r="F12" t="s">
        <v>34</v>
      </c>
      <c r="G12" s="5">
        <v>559</v>
      </c>
      <c r="H12" s="5">
        <f>G12*VLOOKUP(F12,Transport!A:B,2,FALSE)</f>
        <v>24.661764705882351</v>
      </c>
      <c r="I12" s="5"/>
      <c r="J12" s="8" t="s">
        <v>100</v>
      </c>
      <c r="K12" s="5">
        <v>2384</v>
      </c>
      <c r="L12" s="5">
        <v>344.45568627450984</v>
      </c>
      <c r="N12" t="str">
        <f>Projects!A10</f>
        <v>UK Tree Planting</v>
      </c>
      <c r="O12" t="str">
        <f>Projects!B10</f>
        <v>UK</v>
      </c>
      <c r="P12" t="str">
        <f>IF(Projects!G10="","none",Projects!G10)</f>
        <v>QAS - retiring VCS credits</v>
      </c>
      <c r="Q12" s="3">
        <f>Projects!C10</f>
        <v>1.7520000000000001E-2</v>
      </c>
      <c r="R12" s="12">
        <v>0.4</v>
      </c>
      <c r="S12" s="5">
        <f t="shared" si="0"/>
        <v>4416.8562274509814</v>
      </c>
      <c r="T12" s="13">
        <f t="shared" si="1"/>
        <v>77.383321104941203</v>
      </c>
      <c r="U12" s="36">
        <f t="shared" si="2"/>
        <v>59.525631619185539</v>
      </c>
    </row>
    <row r="13" spans="1:21">
      <c r="B13" s="4">
        <v>2019</v>
      </c>
      <c r="C13" s="2" t="s">
        <v>10</v>
      </c>
      <c r="D13" t="s">
        <v>26</v>
      </c>
      <c r="E13" t="s">
        <v>27</v>
      </c>
      <c r="F13" t="s">
        <v>35</v>
      </c>
      <c r="G13" s="5">
        <v>70</v>
      </c>
      <c r="H13" s="5">
        <f>G13*VLOOKUP(F13,Transport!A:B,2,FALSE)</f>
        <v>6.1764705882352935</v>
      </c>
      <c r="I13" s="5"/>
      <c r="J13" s="9" t="s">
        <v>32</v>
      </c>
      <c r="K13" s="5">
        <v>2296</v>
      </c>
      <c r="L13" s="5">
        <v>340.57333333333338</v>
      </c>
      <c r="N13" t="str">
        <f>Projects!A11</f>
        <v>Reforestation2</v>
      </c>
      <c r="O13" t="str">
        <f>Projects!B11</f>
        <v>Kenya</v>
      </c>
      <c r="P13" t="str">
        <f>IF(Projects!G11="","none",Projects!G11)</f>
        <v>QAS - retiring VCS credits</v>
      </c>
      <c r="Q13" s="3">
        <f>Projects!C11</f>
        <v>1.2905E-2</v>
      </c>
      <c r="R13" s="12">
        <v>0</v>
      </c>
      <c r="S13" s="5" t="str">
        <f t="shared" si="0"/>
        <v/>
      </c>
      <c r="T13" s="13" t="str">
        <f t="shared" si="1"/>
        <v/>
      </c>
      <c r="U13" s="36" t="str">
        <f t="shared" si="2"/>
        <v/>
      </c>
    </row>
    <row r="14" spans="1:21">
      <c r="B14" s="4">
        <v>2019</v>
      </c>
      <c r="C14" s="2" t="s">
        <v>10</v>
      </c>
      <c r="D14" t="s">
        <v>27</v>
      </c>
      <c r="E14" t="s">
        <v>6</v>
      </c>
      <c r="F14" t="s">
        <v>33</v>
      </c>
      <c r="G14" s="5">
        <v>67</v>
      </c>
      <c r="H14" s="5">
        <f>G14*VLOOKUP(F14,Transport!A:B,2,FALSE)</f>
        <v>11.970666666666666</v>
      </c>
      <c r="I14" s="5"/>
      <c r="J14" s="9" t="s">
        <v>36</v>
      </c>
      <c r="K14" s="5">
        <v>88</v>
      </c>
      <c r="L14" s="5">
        <v>3.8823529411764701</v>
      </c>
      <c r="N14" t="str">
        <f>Projects!A12</f>
        <v>Americas Portfolio</v>
      </c>
      <c r="O14" t="str">
        <f>Projects!B12</f>
        <v>South America</v>
      </c>
      <c r="P14" t="str">
        <f>IF(Projects!G12="","none",Projects!G12)</f>
        <v>QAS - VCS</v>
      </c>
      <c r="Q14" s="3">
        <f>Projects!C12</f>
        <v>9.5076923076923073E-3</v>
      </c>
      <c r="R14" s="12">
        <v>0</v>
      </c>
      <c r="S14" s="5" t="str">
        <f t="shared" si="0"/>
        <v/>
      </c>
      <c r="T14" s="13" t="str">
        <f t="shared" si="1"/>
        <v/>
      </c>
      <c r="U14" s="36" t="str">
        <f t="shared" si="2"/>
        <v/>
      </c>
    </row>
    <row r="15" spans="1:21">
      <c r="B15" s="4">
        <v>2019</v>
      </c>
      <c r="C15" s="2" t="s">
        <v>10</v>
      </c>
      <c r="D15" t="s">
        <v>29</v>
      </c>
      <c r="E15" t="s">
        <v>3</v>
      </c>
      <c r="F15" t="s">
        <v>36</v>
      </c>
      <c r="G15">
        <v>124</v>
      </c>
      <c r="H15" s="5">
        <f>G15*VLOOKUP(F15,Transport!A:B,2,FALSE)</f>
        <v>5.4705882352941169</v>
      </c>
      <c r="I15" s="5"/>
      <c r="J15" s="8" t="s">
        <v>96</v>
      </c>
      <c r="K15" s="5">
        <v>50393</v>
      </c>
      <c r="L15" s="5">
        <v>7295.6064705882354</v>
      </c>
      <c r="N15" t="str">
        <f>Projects!A13</f>
        <v>Community Projects</v>
      </c>
      <c r="O15" t="str">
        <f>Projects!B13</f>
        <v>Global</v>
      </c>
      <c r="P15" t="str">
        <f>IF(Projects!G13="","none",Projects!G13)</f>
        <v>QAS - Gold Standard VER</v>
      </c>
      <c r="Q15" s="3">
        <f>Projects!C13</f>
        <v>1.086923076923077E-2</v>
      </c>
      <c r="R15" s="12">
        <v>0.3</v>
      </c>
      <c r="S15" s="5">
        <f t="shared" si="0"/>
        <v>3312.6421705882353</v>
      </c>
      <c r="T15" s="13">
        <f t="shared" si="1"/>
        <v>36.005872208009052</v>
      </c>
      <c r="U15" s="36">
        <f t="shared" si="2"/>
        <v>27.696824775391576</v>
      </c>
    </row>
    <row r="16" spans="1:21">
      <c r="B16" s="4">
        <v>2019</v>
      </c>
      <c r="C16" s="2" t="s">
        <v>10</v>
      </c>
      <c r="D16" t="s">
        <v>3</v>
      </c>
      <c r="E16" t="s">
        <v>29</v>
      </c>
      <c r="F16" t="s">
        <v>36</v>
      </c>
      <c r="G16">
        <v>124</v>
      </c>
      <c r="H16" s="5">
        <f>G16*VLOOKUP(F16,Transport!A:B,2,FALSE)</f>
        <v>5.4705882352941169</v>
      </c>
      <c r="I16" s="5"/>
      <c r="J16" s="9" t="s">
        <v>32</v>
      </c>
      <c r="K16" s="5">
        <v>48672</v>
      </c>
      <c r="L16" s="5">
        <v>7219.68</v>
      </c>
      <c r="N16" t="str">
        <f>Projects!A14</f>
        <v>Certified Emission Reduction</v>
      </c>
      <c r="O16" t="str">
        <f>Projects!B14</f>
        <v>Global</v>
      </c>
      <c r="P16" t="str">
        <f>IF(Projects!G14="","none",Projects!G14)</f>
        <v>QAS - VCS</v>
      </c>
      <c r="Q16" s="3">
        <f>Projects!C14</f>
        <v>1.0184615384615384E-2</v>
      </c>
      <c r="R16" s="12">
        <v>0</v>
      </c>
      <c r="S16" s="5" t="str">
        <f t="shared" si="0"/>
        <v/>
      </c>
      <c r="T16" s="13" t="str">
        <f t="shared" si="1"/>
        <v/>
      </c>
      <c r="U16" s="36" t="str">
        <f t="shared" si="2"/>
        <v/>
      </c>
    </row>
    <row r="17" spans="2:21">
      <c r="B17" s="4">
        <v>2019</v>
      </c>
      <c r="C17" s="2" t="s">
        <v>100</v>
      </c>
      <c r="D17" t="s">
        <v>29</v>
      </c>
      <c r="E17" t="s">
        <v>42</v>
      </c>
      <c r="F17" t="s">
        <v>36</v>
      </c>
      <c r="G17" s="5">
        <v>44</v>
      </c>
      <c r="H17" s="5">
        <f>G17*VLOOKUP(F17,Transport!A:B,2,FALSE)</f>
        <v>1.9411764705882351</v>
      </c>
      <c r="J17" s="9" t="s">
        <v>36</v>
      </c>
      <c r="K17" s="5">
        <v>1721</v>
      </c>
      <c r="L17" s="5">
        <v>75.92647058823529</v>
      </c>
      <c r="P17" s="12"/>
      <c r="Q17" s="5"/>
      <c r="R17" s="13"/>
    </row>
    <row r="18" spans="2:21">
      <c r="B18" s="4">
        <v>2019</v>
      </c>
      <c r="C18" s="2" t="s">
        <v>100</v>
      </c>
      <c r="D18" t="s">
        <v>42</v>
      </c>
      <c r="E18" t="s">
        <v>100</v>
      </c>
      <c r="F18" t="s">
        <v>32</v>
      </c>
      <c r="G18" s="5">
        <v>1148</v>
      </c>
      <c r="H18" s="5">
        <f>G18*VLOOKUP(F18,Transport!A:B,2,FALSE)</f>
        <v>170.28666666666669</v>
      </c>
      <c r="J18" s="8" t="s">
        <v>101</v>
      </c>
      <c r="K18" s="5">
        <v>1514</v>
      </c>
      <c r="L18" s="5">
        <v>270.50133333333332</v>
      </c>
    </row>
    <row r="19" spans="2:21">
      <c r="B19" s="4">
        <v>2019</v>
      </c>
      <c r="C19" s="2" t="s">
        <v>100</v>
      </c>
      <c r="D19" t="s">
        <v>100</v>
      </c>
      <c r="E19" t="s">
        <v>42</v>
      </c>
      <c r="F19" t="s">
        <v>32</v>
      </c>
      <c r="G19" s="5">
        <v>1148</v>
      </c>
      <c r="H19" s="5">
        <f>G19*VLOOKUP(F19,Transport!A:B,2,FALSE)</f>
        <v>170.28666666666669</v>
      </c>
      <c r="J19" s="9" t="s">
        <v>33</v>
      </c>
      <c r="K19" s="5">
        <v>1514</v>
      </c>
      <c r="L19" s="5">
        <v>270.50133333333332</v>
      </c>
    </row>
    <row r="20" spans="2:21">
      <c r="B20" s="4">
        <v>2019</v>
      </c>
      <c r="C20" s="2" t="s">
        <v>100</v>
      </c>
      <c r="D20" t="s">
        <v>42</v>
      </c>
      <c r="E20" t="s">
        <v>29</v>
      </c>
      <c r="F20" t="s">
        <v>36</v>
      </c>
      <c r="G20">
        <v>44</v>
      </c>
      <c r="H20" s="5">
        <f>G20*VLOOKUP(F20,Transport!A:B,2,FALSE)</f>
        <v>1.9411764705882351</v>
      </c>
      <c r="J20" s="8" t="s">
        <v>102</v>
      </c>
      <c r="K20" s="5">
        <v>890</v>
      </c>
      <c r="L20" s="5">
        <v>159.01333333333332</v>
      </c>
      <c r="N20" s="17" t="s">
        <v>41</v>
      </c>
      <c r="O20" s="17"/>
      <c r="P20" s="18"/>
      <c r="Q20" s="19"/>
      <c r="R20" s="18">
        <f>SUM(R5:R17)</f>
        <v>1</v>
      </c>
      <c r="S20" s="19">
        <f>SUM(S5:S17)</f>
        <v>11042.140568627452</v>
      </c>
      <c r="T20" s="20">
        <f>SUM(T5:T17)</f>
        <v>140.37448607181904</v>
      </c>
      <c r="U20" s="38">
        <f>SUM(U4:U19)</f>
        <v>107.98037390139925</v>
      </c>
    </row>
    <row r="21" spans="2:21">
      <c r="B21" s="4">
        <v>2019</v>
      </c>
      <c r="C21" t="s">
        <v>96</v>
      </c>
      <c r="D21" t="s">
        <v>29</v>
      </c>
      <c r="E21" t="s">
        <v>42</v>
      </c>
      <c r="F21" t="s">
        <v>36</v>
      </c>
      <c r="G21">
        <v>44</v>
      </c>
      <c r="H21" s="5">
        <f>G21*VLOOKUP(F21,Transport!A:B,2,FALSE)</f>
        <v>1.9411764705882351</v>
      </c>
      <c r="J21" s="9" t="s">
        <v>33</v>
      </c>
      <c r="K21" s="5">
        <v>890</v>
      </c>
      <c r="L21" s="5">
        <v>159.01333333333332</v>
      </c>
    </row>
    <row r="22" spans="2:21">
      <c r="B22" s="4">
        <v>2019</v>
      </c>
      <c r="C22" t="s">
        <v>96</v>
      </c>
      <c r="D22" t="s">
        <v>42</v>
      </c>
      <c r="E22" t="s">
        <v>84</v>
      </c>
      <c r="F22" t="s">
        <v>32</v>
      </c>
      <c r="G22" s="5">
        <v>3204</v>
      </c>
      <c r="H22" s="5">
        <f>G22*VLOOKUP(F22,Transport!A:B,2,FALSE)</f>
        <v>475.26000000000005</v>
      </c>
      <c r="J22" s="8" t="s">
        <v>108</v>
      </c>
      <c r="K22" s="5">
        <v>840</v>
      </c>
      <c r="L22" s="5">
        <v>90</v>
      </c>
      <c r="N22" s="22" t="s">
        <v>58</v>
      </c>
      <c r="O22" s="15"/>
      <c r="P22" s="23" t="s">
        <v>59</v>
      </c>
      <c r="Q22" s="21"/>
    </row>
    <row r="23" spans="2:21">
      <c r="B23" s="4">
        <v>2019</v>
      </c>
      <c r="C23" t="s">
        <v>96</v>
      </c>
      <c r="D23" t="s">
        <v>84</v>
      </c>
      <c r="E23" t="s">
        <v>85</v>
      </c>
      <c r="F23" t="s">
        <v>32</v>
      </c>
      <c r="G23" s="5">
        <v>9056</v>
      </c>
      <c r="H23" s="5">
        <f>G23*VLOOKUP(F23,Transport!A:B,2,FALSE)</f>
        <v>1343.3066666666668</v>
      </c>
      <c r="J23" s="9" t="s">
        <v>109</v>
      </c>
      <c r="K23" s="5">
        <v>840</v>
      </c>
      <c r="L23" s="5">
        <v>90</v>
      </c>
      <c r="N23" s="15" t="s">
        <v>57</v>
      </c>
      <c r="O23" s="16" t="str">
        <f>IF(GETPIVOTDATA("Sum of Distance (kms)",$J$3)=SUM(G:G),"OK","Error")</f>
        <v>OK</v>
      </c>
      <c r="P23" s="21" t="s">
        <v>60</v>
      </c>
      <c r="Q23" s="21">
        <f>GETPIVOTDATA("Sum of Distance (kms)",$J$3)</f>
        <v>75651</v>
      </c>
    </row>
    <row r="24" spans="2:21">
      <c r="B24" s="4">
        <v>2019</v>
      </c>
      <c r="C24" t="s">
        <v>96</v>
      </c>
      <c r="D24" t="s">
        <v>85</v>
      </c>
      <c r="E24" t="s">
        <v>86</v>
      </c>
      <c r="F24" t="s">
        <v>32</v>
      </c>
      <c r="G24" s="5">
        <v>3183</v>
      </c>
      <c r="H24" s="5">
        <f>G24*VLOOKUP(F24,Transport!A:B,2,FALSE)</f>
        <v>472.14500000000004</v>
      </c>
      <c r="J24" s="7" t="s">
        <v>22</v>
      </c>
      <c r="K24" s="5">
        <v>75651</v>
      </c>
      <c r="L24" s="5">
        <v>11042.140568627452</v>
      </c>
      <c r="N24" s="15" t="s">
        <v>54</v>
      </c>
      <c r="O24" s="16" t="str">
        <f>IF(GETPIVOTDATA("Sum of kgs CO2 ",$J$3)=SUM(H:H),"OK","Error")</f>
        <v>OK</v>
      </c>
      <c r="P24" s="21" t="s">
        <v>40</v>
      </c>
      <c r="Q24" s="21">
        <f>GETPIVOTDATA("Sum of kgs CO2 ",$J$3)</f>
        <v>11042.140568627452</v>
      </c>
    </row>
    <row r="25" spans="2:21">
      <c r="B25" s="4">
        <v>2019</v>
      </c>
      <c r="C25" t="s">
        <v>96</v>
      </c>
      <c r="D25" t="s">
        <v>97</v>
      </c>
      <c r="E25" t="s">
        <v>98</v>
      </c>
      <c r="F25" t="s">
        <v>36</v>
      </c>
      <c r="G25" s="5">
        <v>668</v>
      </c>
      <c r="H25" s="5">
        <f>G25*VLOOKUP(F25,Transport!A:B,2,FALSE)</f>
        <v>29.470588235294116</v>
      </c>
      <c r="N25" s="15" t="s">
        <v>55</v>
      </c>
      <c r="O25" s="16" t="str">
        <f>IF(Q24=S20,"OK","Error")</f>
        <v>OK</v>
      </c>
      <c r="P25" s="37" t="s">
        <v>112</v>
      </c>
      <c r="Q25" s="37">
        <v>1.3</v>
      </c>
    </row>
    <row r="26" spans="2:21">
      <c r="B26" s="4">
        <v>2019</v>
      </c>
      <c r="C26" t="s">
        <v>96</v>
      </c>
      <c r="D26" t="s">
        <v>99</v>
      </c>
      <c r="E26" t="s">
        <v>87</v>
      </c>
      <c r="F26" t="s">
        <v>36</v>
      </c>
      <c r="G26" s="5">
        <v>965</v>
      </c>
      <c r="H26" s="5">
        <f>G26*VLOOKUP(F26,Transport!A:B,2,FALSE)</f>
        <v>42.573529411764703</v>
      </c>
      <c r="N26" s="15" t="s">
        <v>56</v>
      </c>
      <c r="O26" s="16" t="str">
        <f>IF(R20=1,"OK","Error")</f>
        <v>OK</v>
      </c>
    </row>
    <row r="27" spans="2:21">
      <c r="B27" s="4">
        <v>2019</v>
      </c>
      <c r="C27" t="s">
        <v>96</v>
      </c>
      <c r="D27" t="s">
        <v>87</v>
      </c>
      <c r="E27" t="s">
        <v>88</v>
      </c>
      <c r="F27" t="s">
        <v>32</v>
      </c>
      <c r="G27" s="5">
        <v>227</v>
      </c>
      <c r="H27" s="5">
        <f>G27*VLOOKUP(F27,Transport!A:B,2,FALSE)</f>
        <v>33.671666666666667</v>
      </c>
      <c r="N27" s="15" t="s">
        <v>121</v>
      </c>
      <c r="O27" s="16" t="str">
        <f>IF(U20=T20/Q25,"OK","Error")</f>
        <v>OK</v>
      </c>
    </row>
    <row r="28" spans="2:21">
      <c r="B28" s="4">
        <v>2019</v>
      </c>
      <c r="C28" t="s">
        <v>96</v>
      </c>
      <c r="D28" t="s">
        <v>88</v>
      </c>
      <c r="E28" t="s">
        <v>85</v>
      </c>
      <c r="F28" t="s">
        <v>32</v>
      </c>
      <c r="G28" s="5">
        <v>2537</v>
      </c>
      <c r="H28" s="5">
        <f>G28*VLOOKUP(F28,Transport!A:B,2,FALSE)</f>
        <v>376.32166666666672</v>
      </c>
    </row>
    <row r="29" spans="2:21">
      <c r="B29" s="4">
        <v>2019</v>
      </c>
      <c r="C29" t="s">
        <v>96</v>
      </c>
      <c r="D29" t="s">
        <v>85</v>
      </c>
      <c r="E29" t="s">
        <v>89</v>
      </c>
      <c r="F29" t="s">
        <v>32</v>
      </c>
      <c r="G29" s="5">
        <v>3914</v>
      </c>
      <c r="H29" s="5">
        <f>G29*VLOOKUP(F29,Transport!A:B,2,FALSE)</f>
        <v>580.57666666666671</v>
      </c>
    </row>
    <row r="30" spans="2:21">
      <c r="B30" s="4">
        <v>2019</v>
      </c>
      <c r="C30" t="s">
        <v>96</v>
      </c>
      <c r="D30" t="s">
        <v>89</v>
      </c>
      <c r="E30" t="s">
        <v>90</v>
      </c>
      <c r="F30" t="s">
        <v>32</v>
      </c>
      <c r="G30" s="5">
        <v>3917</v>
      </c>
      <c r="H30" s="5">
        <f>G30*VLOOKUP(F30,Transport!A:B,2,FALSE)</f>
        <v>581.02166666666676</v>
      </c>
      <c r="N30" s="5"/>
    </row>
    <row r="31" spans="2:21">
      <c r="B31" s="4">
        <v>2019</v>
      </c>
      <c r="C31" t="s">
        <v>96</v>
      </c>
      <c r="D31" t="s">
        <v>90</v>
      </c>
      <c r="E31" t="s">
        <v>91</v>
      </c>
      <c r="F31" t="s">
        <v>32</v>
      </c>
      <c r="G31" s="5">
        <v>2157</v>
      </c>
      <c r="H31" s="5">
        <f>G31*VLOOKUP(F31,Transport!A:B,2,FALSE)</f>
        <v>319.95500000000004</v>
      </c>
    </row>
    <row r="32" spans="2:21">
      <c r="B32" s="4">
        <v>2019</v>
      </c>
      <c r="C32" t="s">
        <v>96</v>
      </c>
      <c r="D32" t="s">
        <v>91</v>
      </c>
      <c r="E32" t="s">
        <v>92</v>
      </c>
      <c r="F32" t="s">
        <v>32</v>
      </c>
      <c r="G32" s="5">
        <v>476</v>
      </c>
      <c r="H32" s="5">
        <f>G32*VLOOKUP(F32,Transport!A:B,2,FALSE)</f>
        <v>70.606666666666669</v>
      </c>
    </row>
    <row r="33" spans="2:8">
      <c r="B33" s="4">
        <v>2019</v>
      </c>
      <c r="C33" t="s">
        <v>96</v>
      </c>
      <c r="D33" t="s">
        <v>92</v>
      </c>
      <c r="E33" t="s">
        <v>93</v>
      </c>
      <c r="F33" t="s">
        <v>32</v>
      </c>
      <c r="G33" s="5">
        <v>2586</v>
      </c>
      <c r="H33" s="5">
        <f>G33*VLOOKUP(F33,Transport!A:B,2,FALSE)</f>
        <v>383.59000000000003</v>
      </c>
    </row>
    <row r="34" spans="2:8">
      <c r="B34" s="4">
        <v>2019</v>
      </c>
      <c r="C34" t="s">
        <v>96</v>
      </c>
      <c r="D34" t="s">
        <v>93</v>
      </c>
      <c r="E34" t="s">
        <v>94</v>
      </c>
      <c r="F34" t="s">
        <v>32</v>
      </c>
      <c r="G34" s="5">
        <v>8368</v>
      </c>
      <c r="H34" s="5">
        <f>G34*VLOOKUP(F34,Transport!A:B,2,FALSE)</f>
        <v>1241.2533333333333</v>
      </c>
    </row>
    <row r="35" spans="2:8">
      <c r="B35" s="4">
        <v>2019</v>
      </c>
      <c r="C35" t="s">
        <v>96</v>
      </c>
      <c r="D35" t="s">
        <v>94</v>
      </c>
      <c r="E35" t="s">
        <v>95</v>
      </c>
      <c r="F35" t="s">
        <v>32</v>
      </c>
      <c r="G35" s="5">
        <v>6603</v>
      </c>
      <c r="H35" s="5">
        <f>G35*VLOOKUP(F35,Transport!A:B,2,FALSE)</f>
        <v>979.44500000000005</v>
      </c>
    </row>
    <row r="36" spans="2:8">
      <c r="B36" s="4">
        <v>2019</v>
      </c>
      <c r="C36" t="s">
        <v>96</v>
      </c>
      <c r="D36" t="s">
        <v>95</v>
      </c>
      <c r="E36" t="s">
        <v>42</v>
      </c>
      <c r="F36" t="s">
        <v>32</v>
      </c>
      <c r="G36" s="5">
        <v>2444</v>
      </c>
      <c r="H36" s="5">
        <f>G36*VLOOKUP(F36,Transport!A:B,2,FALSE)</f>
        <v>362.5266666666667</v>
      </c>
    </row>
    <row r="37" spans="2:8">
      <c r="B37" s="4">
        <v>2019</v>
      </c>
      <c r="C37" t="s">
        <v>96</v>
      </c>
      <c r="D37" t="s">
        <v>42</v>
      </c>
      <c r="E37" t="s">
        <v>29</v>
      </c>
      <c r="F37" t="s">
        <v>36</v>
      </c>
      <c r="G37">
        <v>44</v>
      </c>
      <c r="H37" s="5">
        <f>G37*VLOOKUP(F37,Transport!A:B,2,FALSE)</f>
        <v>1.9411764705882351</v>
      </c>
    </row>
    <row r="38" spans="2:8">
      <c r="B38" s="4">
        <v>2019</v>
      </c>
      <c r="C38" t="s">
        <v>101</v>
      </c>
      <c r="D38" t="s">
        <v>29</v>
      </c>
      <c r="E38" t="s">
        <v>102</v>
      </c>
      <c r="F38" t="s">
        <v>33</v>
      </c>
      <c r="G38" s="5">
        <v>445</v>
      </c>
      <c r="H38" s="5">
        <f>G38*VLOOKUP(F38,Transport!A:B,2,FALSE)</f>
        <v>79.506666666666661</v>
      </c>
    </row>
    <row r="39" spans="2:8">
      <c r="B39" s="4">
        <v>2019</v>
      </c>
      <c r="C39" t="s">
        <v>101</v>
      </c>
      <c r="D39" t="s">
        <v>102</v>
      </c>
      <c r="E39" t="s">
        <v>103</v>
      </c>
      <c r="F39" t="s">
        <v>33</v>
      </c>
      <c r="G39" s="5">
        <v>538</v>
      </c>
      <c r="H39" s="5">
        <f>G39*VLOOKUP(F39,Transport!A:B,2,FALSE)</f>
        <v>96.122666666666674</v>
      </c>
    </row>
    <row r="40" spans="2:8">
      <c r="B40" s="4">
        <v>2019</v>
      </c>
      <c r="C40" t="s">
        <v>101</v>
      </c>
      <c r="D40" t="s">
        <v>103</v>
      </c>
      <c r="E40" t="s">
        <v>104</v>
      </c>
      <c r="F40" t="s">
        <v>33</v>
      </c>
      <c r="G40" s="5">
        <v>114</v>
      </c>
      <c r="H40" s="5">
        <f>G40*VLOOKUP(F40,Transport!A:B,2,FALSE)</f>
        <v>20.367999999999999</v>
      </c>
    </row>
    <row r="41" spans="2:8">
      <c r="B41" s="4">
        <v>2019</v>
      </c>
      <c r="C41" t="s">
        <v>101</v>
      </c>
      <c r="D41" t="s">
        <v>104</v>
      </c>
      <c r="E41" t="s">
        <v>29</v>
      </c>
      <c r="F41" t="s">
        <v>33</v>
      </c>
      <c r="G41" s="5">
        <v>417</v>
      </c>
      <c r="H41" s="5">
        <f>G41*VLOOKUP(F41,Transport!A:B,2,FALSE)</f>
        <v>74.504000000000005</v>
      </c>
    </row>
    <row r="42" spans="2:8">
      <c r="B42" s="4">
        <v>2019</v>
      </c>
      <c r="C42" t="s">
        <v>102</v>
      </c>
      <c r="D42" t="s">
        <v>29</v>
      </c>
      <c r="E42" t="s">
        <v>102</v>
      </c>
      <c r="F42" t="s">
        <v>33</v>
      </c>
      <c r="G42" s="5">
        <v>445</v>
      </c>
      <c r="H42" s="5">
        <f>G42*VLOOKUP(F42,Transport!A:B,2,FALSE)</f>
        <v>79.506666666666661</v>
      </c>
    </row>
    <row r="43" spans="2:8">
      <c r="B43" s="4">
        <v>2019</v>
      </c>
      <c r="C43" t="s">
        <v>102</v>
      </c>
      <c r="D43" t="s">
        <v>102</v>
      </c>
      <c r="E43" t="s">
        <v>29</v>
      </c>
      <c r="F43" t="s">
        <v>33</v>
      </c>
      <c r="G43" s="5">
        <v>445</v>
      </c>
      <c r="H43" s="5">
        <f>G43*VLOOKUP(F43,Transport!A:B,2,FALSE)</f>
        <v>79.506666666666661</v>
      </c>
    </row>
    <row r="44" spans="2:8">
      <c r="B44" s="4">
        <v>2019</v>
      </c>
      <c r="C44" t="s">
        <v>108</v>
      </c>
      <c r="D44" t="s">
        <v>29</v>
      </c>
      <c r="E44" t="s">
        <v>29</v>
      </c>
      <c r="F44" t="s">
        <v>109</v>
      </c>
      <c r="G44" s="5">
        <v>840</v>
      </c>
      <c r="H44" s="5">
        <f>G44*VLOOKUP(F44,Transport!A:B,2,FALSE)</f>
        <v>90</v>
      </c>
    </row>
  </sheetData>
  <sortState ref="B27:F53">
    <sortCondition ref="B27"/>
  </sortState>
  <dataValidations count="1">
    <dataValidation type="list" allowBlank="1" showInputMessage="1" showErrorMessage="1" sqref="F2:F51">
      <formula1>Transport!A2:A7</formula1>
    </dataValidation>
  </dataValidations>
  <pageMargins left="0.7" right="0.7" top="0.75" bottom="0.75" header="0.3" footer="0.3"/>
  <ignoredErrors>
    <ignoredError sqref="R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"/>
  <sheetViews>
    <sheetView workbookViewId="0">
      <selection activeCell="D16" sqref="D16"/>
    </sheetView>
  </sheetViews>
  <sheetFormatPr defaultRowHeight="15"/>
  <cols>
    <col min="1" max="1" width="27.7109375" customWidth="1"/>
    <col min="2" max="2" width="16" customWidth="1"/>
    <col min="3" max="3" width="14.140625" customWidth="1"/>
    <col min="4" max="4" width="18.28515625" customWidth="1"/>
    <col min="5" max="5" width="19.42578125" customWidth="1"/>
    <col min="6" max="6" width="7.85546875" customWidth="1"/>
    <col min="7" max="7" width="29.140625" customWidth="1"/>
    <col min="8" max="8" width="28" customWidth="1"/>
  </cols>
  <sheetData>
    <row r="1" spans="1:8" ht="18">
      <c r="A1" s="1" t="s">
        <v>11</v>
      </c>
      <c r="B1" s="1" t="s">
        <v>12</v>
      </c>
      <c r="C1" s="1" t="s">
        <v>19</v>
      </c>
      <c r="D1" s="1" t="s">
        <v>31</v>
      </c>
      <c r="E1" s="1" t="s">
        <v>68</v>
      </c>
      <c r="F1" s="1" t="s">
        <v>65</v>
      </c>
      <c r="G1" s="1" t="s">
        <v>79</v>
      </c>
      <c r="H1" s="1" t="s">
        <v>80</v>
      </c>
    </row>
    <row r="2" spans="1:8">
      <c r="A2" t="s">
        <v>14</v>
      </c>
      <c r="B2" t="s">
        <v>13</v>
      </c>
      <c r="C2" s="3">
        <f>F2/E2</f>
        <v>1.980082987551867E-2</v>
      </c>
      <c r="D2" t="s">
        <v>18</v>
      </c>
      <c r="E2" s="27">
        <v>1205</v>
      </c>
      <c r="F2" s="13">
        <v>23.86</v>
      </c>
      <c r="G2" t="s">
        <v>116</v>
      </c>
    </row>
    <row r="3" spans="1:8">
      <c r="A3" t="s">
        <v>15</v>
      </c>
      <c r="B3" t="s">
        <v>16</v>
      </c>
      <c r="C3" s="3">
        <f t="shared" ref="C3:C6" si="0">F3/E3</f>
        <v>1.375103734439834E-2</v>
      </c>
      <c r="D3" t="s">
        <v>18</v>
      </c>
      <c r="E3" s="27">
        <v>1205</v>
      </c>
      <c r="F3" s="13">
        <v>16.57</v>
      </c>
      <c r="G3" t="s">
        <v>117</v>
      </c>
    </row>
    <row r="4" spans="1:8">
      <c r="A4" t="s">
        <v>46</v>
      </c>
      <c r="B4" t="s">
        <v>47</v>
      </c>
      <c r="C4" s="3">
        <f t="shared" si="0"/>
        <v>3.2199170124481327E-2</v>
      </c>
      <c r="D4" t="s">
        <v>18</v>
      </c>
      <c r="E4" s="27">
        <v>1205</v>
      </c>
      <c r="F4" s="13">
        <v>38.799999999999997</v>
      </c>
      <c r="G4" t="s">
        <v>116</v>
      </c>
    </row>
    <row r="5" spans="1:8">
      <c r="A5" t="s">
        <v>45</v>
      </c>
      <c r="B5" t="s">
        <v>17</v>
      </c>
      <c r="C5" s="3">
        <f t="shared" si="0"/>
        <v>8.1991701244813284E-3</v>
      </c>
      <c r="D5" t="s">
        <v>18</v>
      </c>
      <c r="E5" s="27">
        <v>1205</v>
      </c>
      <c r="F5" s="13">
        <v>9.8800000000000008</v>
      </c>
      <c r="G5" t="s">
        <v>116</v>
      </c>
    </row>
    <row r="6" spans="1:8">
      <c r="A6" t="s">
        <v>63</v>
      </c>
      <c r="B6" t="s">
        <v>64</v>
      </c>
      <c r="C6" s="3">
        <f t="shared" si="0"/>
        <v>2.8000000000000001E-2</v>
      </c>
      <c r="D6" t="s">
        <v>62</v>
      </c>
      <c r="E6" s="27">
        <v>1500</v>
      </c>
      <c r="F6" s="13">
        <v>42</v>
      </c>
      <c r="G6" t="s">
        <v>118</v>
      </c>
    </row>
    <row r="7" spans="1:8">
      <c r="A7" t="s">
        <v>66</v>
      </c>
      <c r="B7" t="s">
        <v>67</v>
      </c>
      <c r="C7" s="3">
        <f t="shared" ref="C7" si="1">F7/E7</f>
        <v>8.4000000000000005E-2</v>
      </c>
      <c r="D7" t="s">
        <v>62</v>
      </c>
      <c r="E7" s="27">
        <v>1500</v>
      </c>
      <c r="F7" s="13">
        <v>126</v>
      </c>
      <c r="G7" t="s">
        <v>118</v>
      </c>
    </row>
    <row r="8" spans="1:8">
      <c r="A8" t="s">
        <v>74</v>
      </c>
      <c r="B8" t="s">
        <v>13</v>
      </c>
      <c r="C8" s="3">
        <f t="shared" ref="C8:C14" si="2">F8/E8</f>
        <v>2.9333333333333333E-2</v>
      </c>
      <c r="D8" t="s">
        <v>62</v>
      </c>
      <c r="E8" s="27">
        <v>1500</v>
      </c>
      <c r="F8" s="13">
        <v>44</v>
      </c>
      <c r="G8" t="s">
        <v>118</v>
      </c>
    </row>
    <row r="9" spans="1:8">
      <c r="A9" t="s">
        <v>81</v>
      </c>
      <c r="B9" t="s">
        <v>70</v>
      </c>
      <c r="C9" s="3">
        <f t="shared" si="2"/>
        <v>8.1461538461538464E-3</v>
      </c>
      <c r="D9" t="s">
        <v>69</v>
      </c>
      <c r="E9" s="27">
        <v>1300</v>
      </c>
      <c r="F9" s="13">
        <v>10.59</v>
      </c>
      <c r="G9" t="s">
        <v>113</v>
      </c>
    </row>
    <row r="10" spans="1:8">
      <c r="A10" t="s">
        <v>71</v>
      </c>
      <c r="B10" t="s">
        <v>72</v>
      </c>
      <c r="C10" s="3">
        <f t="shared" si="2"/>
        <v>1.7520000000000001E-2</v>
      </c>
      <c r="D10" t="s">
        <v>69</v>
      </c>
      <c r="E10" s="27">
        <v>2000</v>
      </c>
      <c r="F10" s="13">
        <v>35.04</v>
      </c>
      <c r="G10" t="s">
        <v>114</v>
      </c>
      <c r="H10" t="s">
        <v>82</v>
      </c>
    </row>
    <row r="11" spans="1:8">
      <c r="A11" t="s">
        <v>73</v>
      </c>
      <c r="B11" t="s">
        <v>13</v>
      </c>
      <c r="C11" s="3">
        <f t="shared" si="2"/>
        <v>1.2905E-2</v>
      </c>
      <c r="D11" t="s">
        <v>69</v>
      </c>
      <c r="E11" s="27">
        <v>2000</v>
      </c>
      <c r="F11" s="13">
        <v>25.81</v>
      </c>
      <c r="G11" t="s">
        <v>114</v>
      </c>
    </row>
    <row r="12" spans="1:8">
      <c r="A12" t="s">
        <v>75</v>
      </c>
      <c r="B12" t="s">
        <v>78</v>
      </c>
      <c r="C12" s="3">
        <f t="shared" si="2"/>
        <v>9.5076923076923073E-3</v>
      </c>
      <c r="D12" t="s">
        <v>69</v>
      </c>
      <c r="E12" s="27">
        <v>1300</v>
      </c>
      <c r="F12" s="13">
        <v>12.36</v>
      </c>
      <c r="G12" t="s">
        <v>113</v>
      </c>
    </row>
    <row r="13" spans="1:8">
      <c r="A13" t="s">
        <v>76</v>
      </c>
      <c r="B13" t="s">
        <v>70</v>
      </c>
      <c r="C13" s="3">
        <f t="shared" si="2"/>
        <v>1.086923076923077E-2</v>
      </c>
      <c r="D13" t="s">
        <v>69</v>
      </c>
      <c r="E13" s="27">
        <v>1300</v>
      </c>
      <c r="F13" s="13">
        <v>14.13</v>
      </c>
      <c r="G13" t="s">
        <v>115</v>
      </c>
    </row>
    <row r="14" spans="1:8">
      <c r="A14" t="s">
        <v>77</v>
      </c>
      <c r="B14" t="s">
        <v>70</v>
      </c>
      <c r="C14" s="3">
        <f t="shared" si="2"/>
        <v>1.0184615384615384E-2</v>
      </c>
      <c r="D14" t="s">
        <v>69</v>
      </c>
      <c r="E14" s="27">
        <v>1300</v>
      </c>
      <c r="F14" s="13">
        <v>13.24</v>
      </c>
      <c r="G14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1:R28"/>
  <sheetViews>
    <sheetView workbookViewId="0">
      <selection activeCell="N15" sqref="N15"/>
    </sheetView>
  </sheetViews>
  <sheetFormatPr defaultRowHeight="15"/>
  <cols>
    <col min="1" max="1" width="26" style="25" customWidth="1"/>
    <col min="2" max="2" width="12.42578125" style="25" customWidth="1"/>
    <col min="3" max="3" width="16.28515625" style="25" customWidth="1"/>
    <col min="4" max="4" width="14.7109375" style="25" customWidth="1"/>
    <col min="5" max="5" width="18.140625" style="25" customWidth="1"/>
    <col min="6" max="7" width="12.5703125" style="25" customWidth="1"/>
    <col min="8" max="8" width="9.140625" style="25"/>
    <col min="9" max="9" width="14.7109375" style="25" customWidth="1"/>
    <col min="10" max="10" width="18.140625" style="25" customWidth="1"/>
    <col min="11" max="12" width="12.5703125" style="25" customWidth="1"/>
    <col min="13" max="13" width="9.140625" style="25"/>
    <col min="14" max="14" width="16.42578125" style="25" customWidth="1"/>
    <col min="15" max="15" width="18.140625" style="25" customWidth="1"/>
    <col min="16" max="17" width="12.5703125" style="25" customWidth="1"/>
    <col min="18" max="16384" width="9.140625" style="25"/>
  </cols>
  <sheetData>
    <row r="1" spans="1:18" ht="19.5">
      <c r="A1" s="31" t="s">
        <v>30</v>
      </c>
      <c r="B1" s="24" t="s">
        <v>51</v>
      </c>
      <c r="C1" s="24" t="s">
        <v>61</v>
      </c>
      <c r="D1" s="34" t="s">
        <v>18</v>
      </c>
      <c r="E1" s="24"/>
      <c r="F1" s="24" t="s">
        <v>43</v>
      </c>
      <c r="G1" s="24" t="s">
        <v>52</v>
      </c>
      <c r="H1" s="24" t="s">
        <v>51</v>
      </c>
      <c r="I1" s="34" t="s">
        <v>62</v>
      </c>
      <c r="J1" s="24"/>
      <c r="K1" s="29" t="s">
        <v>43</v>
      </c>
      <c r="L1" s="29" t="s">
        <v>52</v>
      </c>
      <c r="M1" s="29" t="s">
        <v>51</v>
      </c>
      <c r="N1" s="34" t="s">
        <v>69</v>
      </c>
      <c r="O1" s="29"/>
      <c r="P1" s="29" t="s">
        <v>43</v>
      </c>
      <c r="Q1" s="29" t="s">
        <v>52</v>
      </c>
      <c r="R1" s="24" t="s">
        <v>51</v>
      </c>
    </row>
    <row r="2" spans="1:18">
      <c r="A2" s="25" t="s">
        <v>32</v>
      </c>
      <c r="B2" s="32">
        <f>(H2+M2+R2)/3</f>
        <v>0.14833333333333334</v>
      </c>
      <c r="C2" s="32" t="s">
        <v>122</v>
      </c>
      <c r="D2" s="35" t="s">
        <v>42</v>
      </c>
      <c r="E2" s="25" t="s">
        <v>44</v>
      </c>
      <c r="F2" s="28">
        <v>9000</v>
      </c>
      <c r="G2" s="26">
        <v>1205</v>
      </c>
      <c r="H2" s="32">
        <f>G2/F2</f>
        <v>0.13388888888888889</v>
      </c>
      <c r="I2" s="35" t="s">
        <v>42</v>
      </c>
      <c r="J2" s="25" t="s">
        <v>44</v>
      </c>
      <c r="K2" s="28">
        <v>9000</v>
      </c>
      <c r="L2" s="28">
        <v>1500</v>
      </c>
      <c r="M2" s="33">
        <f>L2/K2</f>
        <v>0.16666666666666666</v>
      </c>
      <c r="N2" s="35" t="s">
        <v>42</v>
      </c>
      <c r="O2" s="30" t="s">
        <v>44</v>
      </c>
      <c r="P2" s="28">
        <v>9000</v>
      </c>
      <c r="Q2" s="28">
        <v>1300</v>
      </c>
      <c r="R2" s="32">
        <f>Q2/P2</f>
        <v>0.14444444444444443</v>
      </c>
    </row>
    <row r="3" spans="1:18">
      <c r="A3" s="25" t="s">
        <v>33</v>
      </c>
      <c r="B3" s="32">
        <f>(H3+M3+R3)/3</f>
        <v>0.17866666666666667</v>
      </c>
      <c r="C3" s="32" t="s">
        <v>122</v>
      </c>
      <c r="D3" s="35" t="s">
        <v>48</v>
      </c>
      <c r="F3" s="28">
        <v>1000</v>
      </c>
      <c r="G3" s="26">
        <v>160</v>
      </c>
      <c r="H3" s="32">
        <f t="shared" ref="H3:H6" si="0">G3/F3</f>
        <v>0.16</v>
      </c>
      <c r="I3" s="35" t="s">
        <v>48</v>
      </c>
      <c r="K3" s="28">
        <v>1000</v>
      </c>
      <c r="L3" s="28">
        <v>196</v>
      </c>
      <c r="M3" s="33">
        <f t="shared" ref="M3" si="1">L3/K3</f>
        <v>0.19600000000000001</v>
      </c>
      <c r="N3" s="35" t="s">
        <v>48</v>
      </c>
      <c r="O3" s="30"/>
      <c r="P3" s="28">
        <v>1000</v>
      </c>
      <c r="Q3" s="28">
        <v>180</v>
      </c>
      <c r="R3" s="32">
        <f t="shared" ref="R3" si="2">Q3/P3</f>
        <v>0.18</v>
      </c>
    </row>
    <row r="4" spans="1:18">
      <c r="A4" s="25" t="s">
        <v>34</v>
      </c>
      <c r="B4" s="32">
        <f>B6</f>
        <v>4.4117647058823525E-2</v>
      </c>
      <c r="C4" s="32" t="s">
        <v>124</v>
      </c>
      <c r="D4" s="35"/>
      <c r="F4" s="28"/>
      <c r="G4" s="26"/>
      <c r="H4" s="32"/>
      <c r="I4" s="35"/>
      <c r="K4" s="28"/>
      <c r="L4" s="28"/>
      <c r="M4" s="33"/>
      <c r="N4" s="35"/>
    </row>
    <row r="5" spans="1:18">
      <c r="A5" s="25" t="s">
        <v>35</v>
      </c>
      <c r="B5" s="32">
        <f>B6*2</f>
        <v>8.8235294117647051E-2</v>
      </c>
      <c r="C5" s="32" t="s">
        <v>125</v>
      </c>
      <c r="D5" s="35"/>
      <c r="F5" s="28"/>
      <c r="G5" s="26"/>
      <c r="H5" s="32"/>
      <c r="I5" s="35"/>
      <c r="K5" s="28"/>
      <c r="L5" s="28"/>
      <c r="M5" s="33"/>
      <c r="N5" s="35"/>
      <c r="O5" s="30"/>
      <c r="P5" s="28"/>
      <c r="Q5" s="28"/>
      <c r="R5" s="32"/>
    </row>
    <row r="6" spans="1:18">
      <c r="A6" s="25" t="s">
        <v>36</v>
      </c>
      <c r="B6" s="32">
        <f>(H6+R6)/2</f>
        <v>4.4117647058823525E-2</v>
      </c>
      <c r="C6" s="32" t="s">
        <v>123</v>
      </c>
      <c r="D6" s="35" t="s">
        <v>49</v>
      </c>
      <c r="E6" s="25" t="s">
        <v>50</v>
      </c>
      <c r="F6" s="28">
        <v>612</v>
      </c>
      <c r="G6" s="26">
        <v>24</v>
      </c>
      <c r="H6" s="32">
        <f t="shared" si="0"/>
        <v>3.9215686274509803E-2</v>
      </c>
      <c r="I6" s="35"/>
      <c r="K6" s="26"/>
      <c r="L6" s="26"/>
      <c r="M6" s="32"/>
      <c r="N6" s="35" t="s">
        <v>49</v>
      </c>
      <c r="O6" s="30" t="s">
        <v>50</v>
      </c>
      <c r="P6" s="28">
        <v>612</v>
      </c>
      <c r="Q6" s="28">
        <v>30</v>
      </c>
      <c r="R6" s="32">
        <f>Q6/P6</f>
        <v>4.9019607843137254E-2</v>
      </c>
    </row>
    <row r="7" spans="1:18">
      <c r="A7" s="30" t="s">
        <v>109</v>
      </c>
      <c r="B7" s="32">
        <f>R7</f>
        <v>0.10714285714285714</v>
      </c>
      <c r="C7" s="32" t="s">
        <v>110</v>
      </c>
      <c r="D7" s="35" t="s">
        <v>49</v>
      </c>
      <c r="F7" s="26"/>
      <c r="G7" s="26"/>
      <c r="I7" s="35"/>
      <c r="K7" s="26"/>
      <c r="L7" s="26"/>
      <c r="N7" s="35" t="s">
        <v>48</v>
      </c>
      <c r="O7" s="30"/>
      <c r="P7" s="28">
        <v>840</v>
      </c>
      <c r="Q7" s="28">
        <v>90</v>
      </c>
      <c r="R7" s="32">
        <f t="shared" ref="R7" si="3">Q7/P7</f>
        <v>0.10714285714285714</v>
      </c>
    </row>
    <row r="8" spans="1:18">
      <c r="B8" s="32"/>
      <c r="C8" s="32"/>
      <c r="F8" s="26"/>
      <c r="G8" s="26"/>
      <c r="K8" s="26"/>
      <c r="L8" s="26"/>
      <c r="P8" s="26"/>
      <c r="Q8" s="26"/>
    </row>
    <row r="9" spans="1:18">
      <c r="B9" s="32"/>
      <c r="C9" s="32"/>
      <c r="F9" s="26"/>
      <c r="G9" s="26"/>
      <c r="K9" s="26"/>
      <c r="L9" s="26"/>
      <c r="P9" s="26"/>
      <c r="Q9" s="26"/>
    </row>
    <row r="10" spans="1:18">
      <c r="B10" s="32"/>
      <c r="C10" s="32"/>
      <c r="F10" s="26"/>
      <c r="G10" s="26"/>
      <c r="K10" s="26"/>
      <c r="L10" s="26"/>
      <c r="P10" s="26"/>
      <c r="Q10" s="26"/>
    </row>
    <row r="11" spans="1:18">
      <c r="B11" s="32"/>
      <c r="C11" s="32"/>
      <c r="F11" s="26"/>
      <c r="G11" s="26"/>
      <c r="K11" s="26"/>
      <c r="L11" s="26"/>
      <c r="P11" s="26"/>
      <c r="Q11" s="26"/>
    </row>
    <row r="12" spans="1:18">
      <c r="B12" s="32"/>
      <c r="C12" s="32"/>
      <c r="F12" s="26"/>
      <c r="G12" s="26"/>
      <c r="K12" s="26"/>
      <c r="L12" s="26"/>
      <c r="P12" s="26"/>
      <c r="Q12" s="26"/>
    </row>
    <row r="13" spans="1:18">
      <c r="B13" s="32"/>
      <c r="C13" s="32"/>
      <c r="F13" s="26"/>
      <c r="G13" s="26"/>
      <c r="K13" s="26"/>
      <c r="L13" s="26"/>
      <c r="P13" s="26"/>
      <c r="Q13" s="26"/>
    </row>
    <row r="14" spans="1:18">
      <c r="B14" s="32"/>
      <c r="C14" s="32"/>
      <c r="F14" s="26"/>
      <c r="G14" s="26"/>
      <c r="K14" s="26"/>
      <c r="L14" s="26"/>
      <c r="P14" s="26"/>
      <c r="Q14" s="26"/>
    </row>
    <row r="15" spans="1:18">
      <c r="B15" s="32"/>
      <c r="C15" s="32"/>
      <c r="F15" s="26"/>
      <c r="G15" s="26"/>
      <c r="K15" s="26"/>
      <c r="L15" s="26"/>
      <c r="P15" s="26"/>
      <c r="Q15" s="26"/>
    </row>
    <row r="16" spans="1:18">
      <c r="B16" s="32"/>
      <c r="C16" s="32"/>
      <c r="F16" s="26"/>
      <c r="G16" s="26"/>
      <c r="K16" s="26"/>
      <c r="L16" s="26"/>
      <c r="P16" s="26"/>
      <c r="Q16" s="26"/>
    </row>
    <row r="17" spans="2:17">
      <c r="B17" s="32"/>
      <c r="C17" s="32"/>
      <c r="F17" s="26"/>
      <c r="G17" s="26"/>
      <c r="K17" s="26"/>
      <c r="L17" s="26"/>
      <c r="P17" s="26"/>
      <c r="Q17" s="26"/>
    </row>
    <row r="18" spans="2:17">
      <c r="B18" s="32"/>
      <c r="C18" s="32"/>
      <c r="F18" s="26"/>
      <c r="G18" s="26"/>
      <c r="K18" s="26"/>
      <c r="L18" s="26"/>
      <c r="P18" s="26"/>
      <c r="Q18" s="26"/>
    </row>
    <row r="19" spans="2:17">
      <c r="B19" s="32"/>
      <c r="C19" s="32"/>
      <c r="F19" s="26"/>
      <c r="G19" s="26"/>
      <c r="K19" s="26"/>
      <c r="L19" s="26"/>
      <c r="P19" s="26"/>
      <c r="Q19" s="26"/>
    </row>
    <row r="20" spans="2:17">
      <c r="B20" s="32"/>
      <c r="C20" s="32"/>
      <c r="F20" s="26"/>
      <c r="G20" s="26"/>
      <c r="K20" s="26"/>
      <c r="L20" s="26"/>
      <c r="P20" s="26"/>
      <c r="Q20" s="26"/>
    </row>
    <row r="21" spans="2:17">
      <c r="B21" s="32"/>
      <c r="C21" s="32"/>
      <c r="F21" s="26"/>
      <c r="G21" s="26"/>
      <c r="K21" s="26"/>
      <c r="L21" s="26"/>
      <c r="P21" s="26"/>
      <c r="Q21" s="26"/>
    </row>
    <row r="22" spans="2:17">
      <c r="B22" s="32"/>
      <c r="C22" s="32"/>
      <c r="F22" s="26"/>
      <c r="G22" s="26"/>
      <c r="K22" s="26"/>
      <c r="L22" s="26"/>
      <c r="P22" s="26"/>
      <c r="Q22" s="26"/>
    </row>
    <row r="23" spans="2:17">
      <c r="B23" s="32"/>
      <c r="C23" s="32"/>
      <c r="F23" s="26"/>
      <c r="G23" s="26"/>
      <c r="K23" s="26"/>
      <c r="L23" s="26"/>
      <c r="P23" s="26"/>
      <c r="Q23" s="26"/>
    </row>
    <row r="24" spans="2:17">
      <c r="B24" s="32"/>
      <c r="C24" s="32"/>
      <c r="F24" s="26"/>
      <c r="G24" s="26"/>
      <c r="K24" s="26"/>
      <c r="L24" s="26"/>
      <c r="P24" s="26"/>
      <c r="Q24" s="26"/>
    </row>
    <row r="25" spans="2:17">
      <c r="B25" s="32"/>
      <c r="C25" s="32"/>
      <c r="F25" s="26"/>
      <c r="G25" s="26"/>
      <c r="K25" s="26"/>
      <c r="L25" s="26"/>
      <c r="P25" s="26"/>
      <c r="Q25" s="26"/>
    </row>
    <row r="26" spans="2:17">
      <c r="B26" s="32"/>
      <c r="C26" s="32"/>
      <c r="F26" s="26"/>
      <c r="G26" s="26"/>
      <c r="K26" s="26"/>
      <c r="L26" s="26"/>
      <c r="P26" s="26"/>
      <c r="Q26" s="26"/>
    </row>
    <row r="27" spans="2:17">
      <c r="B27" s="32"/>
      <c r="C27" s="32"/>
      <c r="F27" s="26"/>
      <c r="G27" s="26"/>
      <c r="K27" s="26"/>
      <c r="L27" s="26"/>
      <c r="P27" s="26"/>
      <c r="Q27" s="26"/>
    </row>
    <row r="28" spans="2:17">
      <c r="B28" s="32"/>
      <c r="C28" s="32"/>
      <c r="F28" s="26"/>
      <c r="G28" s="26"/>
      <c r="K28" s="26"/>
      <c r="L28" s="26"/>
      <c r="P28" s="26"/>
      <c r="Q2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2019-Travel</vt:lpstr>
      <vt:lpstr>Projects</vt:lpstr>
      <vt:lpstr>Transport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2020-01-29T10:16:49Z</dcterms:modified>
</cp:coreProperties>
</file>